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05" windowWidth="10110" windowHeight="7890"/>
  </bookViews>
  <sheets>
    <sheet name="TIEMPOS" sheetId="1" r:id="rId1"/>
    <sheet name="AUX" sheetId="2" r:id="rId2"/>
    <sheet name="Hoja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I23" i="1"/>
  <c r="L4"/>
  <c r="C3" i="2" l="1"/>
  <c r="C2"/>
  <c r="B19"/>
  <c r="D28"/>
  <c r="B22"/>
  <c r="B30"/>
  <c r="B20"/>
  <c r="B24"/>
  <c r="B16"/>
  <c r="B21"/>
  <c r="B28"/>
  <c r="B27"/>
  <c r="B25"/>
  <c r="C25"/>
  <c r="C24"/>
  <c r="C23"/>
  <c r="I24" i="1"/>
  <c r="I33" l="1"/>
  <c r="I32"/>
  <c r="I3" i="2" l="1"/>
  <c r="J30" s="1"/>
  <c r="I25" i="1"/>
  <c r="I31"/>
  <c r="I4" i="2"/>
  <c r="I18"/>
  <c r="H15"/>
  <c r="I14"/>
  <c r="I13"/>
  <c r="I12"/>
  <c r="I11"/>
  <c r="I10"/>
  <c r="I9"/>
  <c r="I16" s="1"/>
  <c r="I17" s="1"/>
  <c r="C7" s="1"/>
  <c r="I26" i="1"/>
  <c r="F23"/>
  <c r="F25" s="1"/>
  <c r="F24"/>
  <c r="I30" i="2" l="1"/>
  <c r="C9" s="1"/>
  <c r="F29" i="1"/>
  <c r="F32"/>
  <c r="F26"/>
  <c r="F27" s="1"/>
  <c r="F28" s="1"/>
  <c r="L5" l="1"/>
  <c r="L6"/>
  <c r="C8" i="2"/>
  <c r="F30" i="1"/>
  <c r="F31" s="1"/>
  <c r="I29" l="1"/>
  <c r="L7"/>
  <c r="L8" s="1"/>
  <c r="L10"/>
  <c r="L9"/>
  <c r="I37" i="2"/>
  <c r="I38" s="1"/>
  <c r="C5" s="1"/>
  <c r="C4"/>
  <c r="C13"/>
  <c r="C12"/>
  <c r="C11"/>
  <c r="C10"/>
  <c r="C15" s="1"/>
  <c r="F34" i="1"/>
  <c r="F33"/>
  <c r="C23"/>
  <c r="I27" l="1"/>
  <c r="I28" s="1"/>
  <c r="I30" s="1"/>
  <c r="H17" s="1"/>
  <c r="E15"/>
  <c r="C35"/>
  <c r="C37" s="1"/>
  <c r="C31"/>
  <c r="C33" s="1"/>
  <c r="C27"/>
  <c r="C26"/>
  <c r="C36" l="1"/>
  <c r="C34" s="1"/>
  <c r="C32"/>
  <c r="C30" s="1"/>
  <c r="C25"/>
  <c r="C28" s="1"/>
  <c r="C29" l="1"/>
  <c r="C24"/>
  <c r="B20" s="1"/>
</calcChain>
</file>

<file path=xl/comments1.xml><?xml version="1.0" encoding="utf-8"?>
<comments xmlns="http://schemas.openxmlformats.org/spreadsheetml/2006/main">
  <authors>
    <author>FRANCISCO JAVIER ENRIQUEZ SANTOS</author>
  </authors>
  <commentList>
    <comment ref="I14" authorId="0">
      <text>
        <r>
          <rPr>
            <b/>
            <sz val="9"/>
            <color indexed="81"/>
            <rFont val="Tahoma"/>
            <family val="2"/>
          </rPr>
          <t>0,7 jamón
0,4 embutidos
0,5 quesos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15" authorId="0">
      <text>
        <r>
          <rPr>
            <b/>
            <sz val="9"/>
            <color indexed="81"/>
            <rFont val="Tahoma"/>
            <family val="2"/>
          </rPr>
          <t>0,4 jamón
0,3 embutidos
0,2 quesos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32" authorId="0">
      <text>
        <r>
          <rPr>
            <sz val="9"/>
            <color indexed="81"/>
            <rFont val="Tahoma"/>
            <family val="2"/>
          </rPr>
          <t>0,7 jamón
0,4 embutidos
0,5 quesos</t>
        </r>
      </text>
    </comment>
    <comment ref="I33" authorId="0">
      <text>
        <r>
          <rPr>
            <sz val="9"/>
            <color indexed="81"/>
            <rFont val="Tahoma"/>
            <family val="2"/>
          </rPr>
          <t>0,4 jamón
0,3 embutidos
0,2 quesos</t>
        </r>
      </text>
    </comment>
  </commentList>
</comments>
</file>

<file path=xl/sharedStrings.xml><?xml version="1.0" encoding="utf-8"?>
<sst xmlns="http://schemas.openxmlformats.org/spreadsheetml/2006/main" count="144" uniqueCount="125">
  <si>
    <t>dhv</t>
  </si>
  <si>
    <t>Calor latente congelación (J/kg)</t>
  </si>
  <si>
    <t>Densidad producto fresco (kg/m3)</t>
  </si>
  <si>
    <t>Tª congelación (ºC)</t>
  </si>
  <si>
    <t>Densidad producto congelado (kg/m3)</t>
  </si>
  <si>
    <t>p</t>
  </si>
  <si>
    <t>ste</t>
  </si>
  <si>
    <t>pk</t>
  </si>
  <si>
    <t>Tª cámara (ºC)</t>
  </si>
  <si>
    <t>Tª inicial producto (ºC)</t>
  </si>
  <si>
    <t>bi</t>
  </si>
  <si>
    <t>Coeficiente convección cámara (W/m2K)</t>
  </si>
  <si>
    <t>r</t>
  </si>
  <si>
    <t>ehtd</t>
  </si>
  <si>
    <t>e1</t>
  </si>
  <si>
    <t>e2</t>
  </si>
  <si>
    <t>x_1</t>
  </si>
  <si>
    <t>x1</t>
  </si>
  <si>
    <t>b1</t>
  </si>
  <si>
    <t>b2</t>
  </si>
  <si>
    <t>x_2</t>
  </si>
  <si>
    <t>x2</t>
  </si>
  <si>
    <t>Espesor producto (mm)</t>
  </si>
  <si>
    <t>Ancho producto (mm)</t>
  </si>
  <si>
    <t>Largo producto (mm)</t>
  </si>
  <si>
    <t>Tª final producto (ºC)</t>
  </si>
  <si>
    <t>DATOS DE PARTIDA</t>
  </si>
  <si>
    <t>TIEMPO DE CONGELACIÓN (min)</t>
  </si>
  <si>
    <t>TÚNEL DE CONGELACIÓN</t>
  </si>
  <si>
    <t>TÚNEL DE ENFRIAMIENTO</t>
  </si>
  <si>
    <t>TIEMPO DE ENFRIAMIENTO (min)</t>
  </si>
  <si>
    <t>jm</t>
  </si>
  <si>
    <t>s1</t>
  </si>
  <si>
    <t>s2</t>
  </si>
  <si>
    <t>a1</t>
  </si>
  <si>
    <t>a2</t>
  </si>
  <si>
    <t>g</t>
  </si>
  <si>
    <t>xg</t>
  </si>
  <si>
    <t>m1</t>
  </si>
  <si>
    <t>xb</t>
  </si>
  <si>
    <t>f</t>
  </si>
  <si>
    <t>dif</t>
  </si>
  <si>
    <t>SECADERO</t>
  </si>
  <si>
    <t>TIEMPO DE SECADO (días)</t>
  </si>
  <si>
    <t>ms</t>
  </si>
  <si>
    <t>x0</t>
  </si>
  <si>
    <t>xf</t>
  </si>
  <si>
    <t>sup</t>
  </si>
  <si>
    <t>th</t>
  </si>
  <si>
    <t>pth</t>
  </si>
  <si>
    <t>ya</t>
  </si>
  <si>
    <t>ys</t>
  </si>
  <si>
    <t>kg</t>
  </si>
  <si>
    <t>H.R cámara (%)</t>
  </si>
  <si>
    <t>Contenido agua producto fresco (%)</t>
  </si>
  <si>
    <t>Tª seca (ºC):</t>
  </si>
  <si>
    <t>DATOS DE ENTRADA</t>
  </si>
  <si>
    <t>H.R (%):</t>
  </si>
  <si>
    <t>Temperatura de bulbo seco (°C)</t>
  </si>
  <si>
    <t>Tª humeda (ºC):</t>
  </si>
  <si>
    <t>Altura sobre el nivel del mar (m)</t>
  </si>
  <si>
    <t xml:space="preserve">Tª de rocío (ºC): </t>
  </si>
  <si>
    <t>Altitud (m):</t>
  </si>
  <si>
    <t>Presión (Pa):</t>
  </si>
  <si>
    <t>CUADRO 1: PORCENTAJES MOLARES DE LOS GASES DEL AIRE SECO</t>
  </si>
  <si>
    <t>Humedad absoluta (g agua/kg aire seco):</t>
  </si>
  <si>
    <t>PESO MOLECULAR (kg/kmol)</t>
  </si>
  <si>
    <t>PORCENTAJE MOLAR</t>
  </si>
  <si>
    <t>Presión de vapor en saturación (Pa):</t>
  </si>
  <si>
    <t>Nitrógeno</t>
  </si>
  <si>
    <t>T</t>
  </si>
  <si>
    <t>ce</t>
  </si>
  <si>
    <t>cl</t>
  </si>
  <si>
    <t>Entalpía total (kJ/kg aire seco):</t>
  </si>
  <si>
    <t>Oxígeno</t>
  </si>
  <si>
    <t>Entalpía sensible (kJ/kg aire seco):</t>
  </si>
  <si>
    <t>Dióxido de Carbono</t>
  </si>
  <si>
    <t>Entalpía latente (kJ/kg aire seco):</t>
  </si>
  <si>
    <t>Argón</t>
  </si>
  <si>
    <t>Volumen específico (m3/kg aire seco):</t>
  </si>
  <si>
    <t>Neón</t>
  </si>
  <si>
    <t>Helio</t>
  </si>
  <si>
    <t>TOTAL</t>
  </si>
  <si>
    <t>Peso molecular del aire (kg/kmol)</t>
  </si>
  <si>
    <t>Constante de gas del aire (kJ/kg.K)</t>
  </si>
  <si>
    <t>Constante de gas del agua (kJ/kg.K)</t>
  </si>
  <si>
    <t>CUADRO 2: PRESIÓN DE SATURACIÓN DEL AGUA</t>
  </si>
  <si>
    <t>RANGO DE TEMPERATURA</t>
  </si>
  <si>
    <t>CONSTANTES</t>
  </si>
  <si>
    <t>MENOR A 0 °C</t>
  </si>
  <si>
    <t>MAYOR A 0 °C</t>
  </si>
  <si>
    <t>C1</t>
  </si>
  <si>
    <t>C2</t>
  </si>
  <si>
    <t>C3</t>
  </si>
  <si>
    <t>C4</t>
  </si>
  <si>
    <t>C5</t>
  </si>
  <si>
    <t>C6</t>
  </si>
  <si>
    <t>C7</t>
  </si>
  <si>
    <t>Presión de saturación de vapor de agua (Pa)</t>
  </si>
  <si>
    <t>CUADRO 3: DATOS DE LA ZONA</t>
  </si>
  <si>
    <t>Temperatura a nivel del mar (°C)</t>
  </si>
  <si>
    <t>Razón de cambio de la temperatura (K/m)</t>
  </si>
  <si>
    <t>CUADRO 4: TEMPERATURA DE ROCÍO DEL AIRE</t>
  </si>
  <si>
    <t>Presión parcial de vapor de agua (kPa)</t>
  </si>
  <si>
    <t>Temperatura de punto de rocío</t>
  </si>
  <si>
    <t>xc</t>
  </si>
  <si>
    <t>xeq</t>
  </si>
  <si>
    <t>Humedad crítica producto (kg agua/kg sólido seco)</t>
  </si>
  <si>
    <t>Humedad equilibrio (kg agua/kg sólido seco)</t>
  </si>
  <si>
    <t>Conductividad térmica producto fresco (W/mK)</t>
  </si>
  <si>
    <t>Calor específico producto fresco (J/kgK)</t>
  </si>
  <si>
    <t>Calor específico producto congelado (J/kgK)</t>
  </si>
  <si>
    <t>Conductividad térmica producto congelado (W/mK)</t>
  </si>
  <si>
    <t>MERMA PRODUCTO</t>
  </si>
  <si>
    <t>Masa inicial (kg)</t>
  </si>
  <si>
    <t>Masa final (kg)</t>
  </si>
  <si>
    <t>Merma acumulada (%)</t>
  </si>
  <si>
    <t>Merma fase (%)</t>
  </si>
  <si>
    <t>Merma fase (kg agua)</t>
  </si>
  <si>
    <t>Merma acumulada (kg)</t>
  </si>
  <si>
    <t>Contenido agua producto al inicio de la fase (%)</t>
  </si>
  <si>
    <t>Masa inicio fase (kg)</t>
  </si>
  <si>
    <t xml:space="preserve"> K kg </t>
  </si>
  <si>
    <t xml:space="preserve">J  </t>
  </si>
  <si>
    <t>Contenido agua producto al final de la fase (%)</t>
  </si>
</sst>
</file>

<file path=xl/styles.xml><?xml version="1.0" encoding="utf-8"?>
<styleSheet xmlns="http://schemas.openxmlformats.org/spreadsheetml/2006/main">
  <numFmts count="7">
    <numFmt numFmtId="164" formatCode="0.0"/>
    <numFmt numFmtId="165" formatCode="0.000000"/>
    <numFmt numFmtId="166" formatCode="#,##0.0000"/>
    <numFmt numFmtId="167" formatCode="0.0000000000000000000000000"/>
    <numFmt numFmtId="168" formatCode="0.000"/>
    <numFmt numFmtId="169" formatCode="#,##0.000000"/>
    <numFmt numFmtId="170" formatCode="0.0000"/>
  </numFmts>
  <fonts count="10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color theme="3" tint="-0.249977111117893"/>
      <name val="Calibri"/>
      <family val="2"/>
      <scheme val="minor"/>
    </font>
    <font>
      <b/>
      <sz val="11"/>
      <color theme="3" tint="-0.249977111117893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CC66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5353FF"/>
        <bgColor indexed="64"/>
      </patternFill>
    </fill>
    <fill>
      <patternFill patternType="solid">
        <fgColor rgb="FFF68B32"/>
        <bgColor indexed="64"/>
      </patternFill>
    </fill>
    <fill>
      <patternFill patternType="solid">
        <fgColor rgb="FFA5A5A5"/>
        <bgColor rgb="FFA5A5A5"/>
      </patternFill>
    </fill>
    <fill>
      <patternFill patternType="solid">
        <fgColor rgb="FFD8D8D8"/>
        <bgColor rgb="FFD8D8D8"/>
      </patternFill>
    </fill>
    <fill>
      <patternFill patternType="solid">
        <fgColor rgb="FFEAF1DD"/>
        <bgColor rgb="FFEAF1DD"/>
      </patternFill>
    </fill>
    <fill>
      <patternFill patternType="solid">
        <fgColor rgb="FFFFFF00"/>
        <bgColor indexed="64"/>
      </patternFill>
    </fill>
    <fill>
      <patternFill patternType="solid">
        <fgColor rgb="FFBFBFBF"/>
        <bgColor rgb="FFBFBFBF"/>
      </patternFill>
    </fill>
    <fill>
      <patternFill patternType="solid">
        <fgColor rgb="FFFDE9D9"/>
        <bgColor rgb="FFFDE9D9"/>
      </patternFill>
    </fill>
    <fill>
      <patternFill patternType="solid">
        <fgColor theme="9" tint="0.39997558519241921"/>
        <bgColor indexed="64"/>
      </patternFill>
    </fill>
  </fills>
  <borders count="6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/>
      <right/>
      <top style="medium">
        <color indexed="64"/>
      </top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31">
    <xf numFmtId="0" fontId="0" fillId="0" borderId="0" xfId="0"/>
    <xf numFmtId="0" fontId="1" fillId="0" borderId="0" xfId="0" applyFont="1"/>
    <xf numFmtId="0" fontId="1" fillId="0" borderId="0" xfId="0" applyFont="1" applyBorder="1"/>
    <xf numFmtId="0" fontId="3" fillId="0" borderId="0" xfId="0" applyFont="1" applyAlignment="1">
      <alignment horizontal="justify"/>
    </xf>
    <xf numFmtId="0" fontId="4" fillId="0" borderId="1" xfId="0" applyFont="1" applyBorder="1"/>
    <xf numFmtId="0" fontId="4" fillId="0" borderId="8" xfId="0" applyFont="1" applyBorder="1"/>
    <xf numFmtId="0" fontId="4" fillId="0" borderId="4" xfId="0" applyFont="1" applyBorder="1"/>
    <xf numFmtId="2" fontId="0" fillId="2" borderId="10" xfId="0" applyNumberFormat="1" applyFill="1" applyBorder="1"/>
    <xf numFmtId="2" fontId="0" fillId="2" borderId="2" xfId="0" applyNumberFormat="1" applyFill="1" applyBorder="1"/>
    <xf numFmtId="2" fontId="0" fillId="2" borderId="9" xfId="0" applyNumberFormat="1" applyFill="1" applyBorder="1"/>
    <xf numFmtId="0" fontId="1" fillId="0" borderId="0" xfId="0" applyFont="1" applyBorder="1" applyAlignment="1">
      <alignment wrapText="1"/>
    </xf>
    <xf numFmtId="0" fontId="1" fillId="0" borderId="0" xfId="0" applyFont="1" applyFill="1" applyBorder="1"/>
    <xf numFmtId="0" fontId="7" fillId="0" borderId="0" xfId="0" applyFont="1" applyFill="1" applyBorder="1"/>
    <xf numFmtId="0" fontId="0" fillId="0" borderId="0" xfId="0" applyFill="1" applyBorder="1"/>
    <xf numFmtId="0" fontId="0" fillId="0" borderId="0" xfId="0" applyBorder="1"/>
    <xf numFmtId="0" fontId="2" fillId="0" borderId="11" xfId="0" applyFont="1" applyBorder="1"/>
    <xf numFmtId="4" fontId="2" fillId="0" borderId="11" xfId="0" applyNumberFormat="1" applyFont="1" applyBorder="1"/>
    <xf numFmtId="0" fontId="3" fillId="8" borderId="12" xfId="0" applyFont="1" applyFill="1" applyBorder="1"/>
    <xf numFmtId="0" fontId="3" fillId="8" borderId="13" xfId="0" applyFont="1" applyFill="1" applyBorder="1"/>
    <xf numFmtId="0" fontId="3" fillId="8" borderId="14" xfId="0" applyFont="1" applyFill="1" applyBorder="1"/>
    <xf numFmtId="0" fontId="0" fillId="0" borderId="0" xfId="0" applyFont="1"/>
    <xf numFmtId="0" fontId="3" fillId="9" borderId="15" xfId="0" applyFont="1" applyFill="1" applyBorder="1"/>
    <xf numFmtId="0" fontId="3" fillId="9" borderId="16" xfId="0" applyFont="1" applyFill="1" applyBorder="1"/>
    <xf numFmtId="0" fontId="3" fillId="9" borderId="17" xfId="0" applyFont="1" applyFill="1" applyBorder="1"/>
    <xf numFmtId="4" fontId="3" fillId="10" borderId="18" xfId="0" applyNumberFormat="1" applyFont="1" applyFill="1" applyBorder="1"/>
    <xf numFmtId="0" fontId="3" fillId="9" borderId="19" xfId="0" applyFont="1" applyFill="1" applyBorder="1"/>
    <xf numFmtId="0" fontId="3" fillId="9" borderId="20" xfId="0" applyFont="1" applyFill="1" applyBorder="1"/>
    <xf numFmtId="0" fontId="3" fillId="9" borderId="21" xfId="0" applyFont="1" applyFill="1" applyBorder="1"/>
    <xf numFmtId="4" fontId="3" fillId="10" borderId="22" xfId="0" applyNumberFormat="1" applyFont="1" applyFill="1" applyBorder="1"/>
    <xf numFmtId="0" fontId="3" fillId="0" borderId="0" xfId="0" applyFont="1" applyBorder="1"/>
    <xf numFmtId="0" fontId="3" fillId="8" borderId="23" xfId="0" applyFont="1" applyFill="1" applyBorder="1"/>
    <xf numFmtId="0" fontId="3" fillId="8" borderId="24" xfId="0" applyFont="1" applyFill="1" applyBorder="1"/>
    <xf numFmtId="0" fontId="3" fillId="8" borderId="25" xfId="0" applyFont="1" applyFill="1" applyBorder="1"/>
    <xf numFmtId="0" fontId="3" fillId="9" borderId="26" xfId="0" applyFont="1" applyFill="1" applyBorder="1"/>
    <xf numFmtId="0" fontId="3" fillId="9" borderId="26" xfId="0" applyFont="1" applyFill="1" applyBorder="1" applyAlignment="1">
      <alignment horizontal="center" wrapText="1"/>
    </xf>
    <xf numFmtId="0" fontId="3" fillId="0" borderId="15" xfId="0" applyFont="1" applyBorder="1"/>
    <xf numFmtId="164" fontId="3" fillId="0" borderId="15" xfId="0" applyNumberFormat="1" applyFont="1" applyBorder="1"/>
    <xf numFmtId="10" fontId="3" fillId="0" borderId="27" xfId="0" applyNumberFormat="1" applyFont="1" applyBorder="1"/>
    <xf numFmtId="165" fontId="3" fillId="0" borderId="28" xfId="0" applyNumberFormat="1" applyFont="1" applyBorder="1"/>
    <xf numFmtId="0" fontId="2" fillId="11" borderId="11" xfId="0" applyFont="1" applyFill="1" applyBorder="1"/>
    <xf numFmtId="4" fontId="2" fillId="11" borderId="11" xfId="0" applyNumberFormat="1" applyFont="1" applyFill="1" applyBorder="1"/>
    <xf numFmtId="0" fontId="3" fillId="0" borderId="29" xfId="0" applyFont="1" applyBorder="1"/>
    <xf numFmtId="164" fontId="3" fillId="0" borderId="29" xfId="0" applyNumberFormat="1" applyFont="1" applyBorder="1"/>
    <xf numFmtId="10" fontId="3" fillId="0" borderId="30" xfId="0" applyNumberFormat="1" applyFont="1" applyBorder="1"/>
    <xf numFmtId="165" fontId="3" fillId="0" borderId="31" xfId="0" applyNumberFormat="1" applyFont="1" applyBorder="1"/>
    <xf numFmtId="166" fontId="2" fillId="11" borderId="11" xfId="0" applyNumberFormat="1" applyFont="1" applyFill="1" applyBorder="1"/>
    <xf numFmtId="4" fontId="0" fillId="0" borderId="0" xfId="0" applyNumberFormat="1"/>
    <xf numFmtId="0" fontId="3" fillId="0" borderId="32" xfId="0" applyFont="1" applyBorder="1"/>
    <xf numFmtId="164" fontId="3" fillId="0" borderId="19" xfId="0" applyNumberFormat="1" applyFont="1" applyBorder="1"/>
    <xf numFmtId="10" fontId="3" fillId="0" borderId="33" xfId="0" applyNumberFormat="1" applyFont="1" applyBorder="1"/>
    <xf numFmtId="165" fontId="3" fillId="0" borderId="34" xfId="0" applyNumberFormat="1" applyFont="1" applyBorder="1"/>
    <xf numFmtId="0" fontId="3" fillId="0" borderId="35" xfId="0" applyFont="1" applyBorder="1"/>
    <xf numFmtId="0" fontId="3" fillId="0" borderId="36" xfId="0" applyFont="1" applyBorder="1"/>
    <xf numFmtId="10" fontId="3" fillId="0" borderId="37" xfId="0" applyNumberFormat="1" applyFont="1" applyBorder="1"/>
    <xf numFmtId="0" fontId="3" fillId="0" borderId="25" xfId="0" applyFont="1" applyBorder="1"/>
    <xf numFmtId="10" fontId="3" fillId="0" borderId="0" xfId="0" applyNumberFormat="1" applyFont="1" applyBorder="1"/>
    <xf numFmtId="0" fontId="3" fillId="0" borderId="18" xfId="0" applyFont="1" applyBorder="1"/>
    <xf numFmtId="0" fontId="3" fillId="9" borderId="29" xfId="0" applyFont="1" applyFill="1" applyBorder="1"/>
    <xf numFmtId="0" fontId="3" fillId="9" borderId="38" xfId="0" applyFont="1" applyFill="1" applyBorder="1"/>
    <xf numFmtId="0" fontId="3" fillId="9" borderId="39" xfId="0" applyFont="1" applyFill="1" applyBorder="1"/>
    <xf numFmtId="0" fontId="3" fillId="0" borderId="40" xfId="0" applyFont="1" applyBorder="1"/>
    <xf numFmtId="0" fontId="3" fillId="0" borderId="22" xfId="0" applyFont="1" applyBorder="1"/>
    <xf numFmtId="0" fontId="3" fillId="12" borderId="23" xfId="0" applyFont="1" applyFill="1" applyBorder="1"/>
    <xf numFmtId="0" fontId="3" fillId="12" borderId="24" xfId="0" applyFont="1" applyFill="1" applyBorder="1"/>
    <xf numFmtId="0" fontId="3" fillId="12" borderId="25" xfId="0" applyFont="1" applyFill="1" applyBorder="1"/>
    <xf numFmtId="0" fontId="3" fillId="9" borderId="24" xfId="0" applyFont="1" applyFill="1" applyBorder="1"/>
    <xf numFmtId="0" fontId="3" fillId="9" borderId="25" xfId="0" applyFont="1" applyFill="1" applyBorder="1"/>
    <xf numFmtId="0" fontId="3" fillId="9" borderId="41" xfId="0" applyFont="1" applyFill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42" xfId="0" applyFont="1" applyBorder="1"/>
    <xf numFmtId="167" fontId="3" fillId="0" borderId="43" xfId="0" applyNumberFormat="1" applyFont="1" applyBorder="1"/>
    <xf numFmtId="167" fontId="3" fillId="0" borderId="18" xfId="0" applyNumberFormat="1" applyFont="1" applyBorder="1"/>
    <xf numFmtId="11" fontId="3" fillId="0" borderId="0" xfId="0" applyNumberFormat="1" applyFont="1" applyBorder="1"/>
    <xf numFmtId="0" fontId="3" fillId="0" borderId="44" xfId="0" applyFont="1" applyBorder="1"/>
    <xf numFmtId="167" fontId="3" fillId="0" borderId="45" xfId="0" applyNumberFormat="1" applyFont="1" applyBorder="1"/>
    <xf numFmtId="167" fontId="3" fillId="0" borderId="40" xfId="0" applyNumberFormat="1" applyFont="1" applyBorder="1"/>
    <xf numFmtId="0" fontId="3" fillId="0" borderId="46" xfId="0" applyFont="1" applyBorder="1"/>
    <xf numFmtId="167" fontId="3" fillId="0" borderId="47" xfId="0" applyNumberFormat="1" applyFont="1" applyBorder="1"/>
    <xf numFmtId="167" fontId="3" fillId="0" borderId="48" xfId="0" applyNumberFormat="1" applyFont="1" applyBorder="1"/>
    <xf numFmtId="0" fontId="3" fillId="9" borderId="5" xfId="0" applyFont="1" applyFill="1" applyBorder="1"/>
    <xf numFmtId="0" fontId="3" fillId="9" borderId="49" xfId="0" applyFont="1" applyFill="1" applyBorder="1"/>
    <xf numFmtId="0" fontId="3" fillId="9" borderId="50" xfId="0" applyFont="1" applyFill="1" applyBorder="1"/>
    <xf numFmtId="168" fontId="3" fillId="0" borderId="51" xfId="0" applyNumberFormat="1" applyFont="1" applyBorder="1"/>
    <xf numFmtId="0" fontId="3" fillId="8" borderId="52" xfId="0" applyFont="1" applyFill="1" applyBorder="1"/>
    <xf numFmtId="0" fontId="3" fillId="8" borderId="53" xfId="0" applyFont="1" applyFill="1" applyBorder="1"/>
    <xf numFmtId="0" fontId="3" fillId="8" borderId="54" xfId="0" applyFont="1" applyFill="1" applyBorder="1"/>
    <xf numFmtId="0" fontId="3" fillId="9" borderId="55" xfId="0" applyFont="1" applyFill="1" applyBorder="1"/>
    <xf numFmtId="0" fontId="3" fillId="0" borderId="56" xfId="0" applyFont="1" applyBorder="1"/>
    <xf numFmtId="0" fontId="3" fillId="9" borderId="57" xfId="0" applyFont="1" applyFill="1" applyBorder="1"/>
    <xf numFmtId="0" fontId="3" fillId="9" borderId="58" xfId="0" applyFont="1" applyFill="1" applyBorder="1"/>
    <xf numFmtId="0" fontId="3" fillId="9" borderId="59" xfId="0" applyFont="1" applyFill="1" applyBorder="1"/>
    <xf numFmtId="0" fontId="3" fillId="0" borderId="60" xfId="0" applyFont="1" applyBorder="1"/>
    <xf numFmtId="168" fontId="3" fillId="0" borderId="18" xfId="0" applyNumberFormat="1" applyFont="1" applyBorder="1"/>
    <xf numFmtId="2" fontId="3" fillId="13" borderId="22" xfId="0" applyNumberFormat="1" applyFont="1" applyFill="1" applyBorder="1"/>
    <xf numFmtId="4" fontId="1" fillId="0" borderId="0" xfId="0" applyNumberFormat="1" applyFont="1"/>
    <xf numFmtId="169" fontId="1" fillId="0" borderId="0" xfId="0" applyNumberFormat="1" applyFont="1"/>
    <xf numFmtId="2" fontId="1" fillId="0" borderId="0" xfId="0" applyNumberFormat="1" applyFont="1" applyBorder="1"/>
    <xf numFmtId="2" fontId="1" fillId="0" borderId="0" xfId="0" applyNumberFormat="1" applyFont="1"/>
    <xf numFmtId="0" fontId="0" fillId="0" borderId="0" xfId="0" applyNumberFormat="1"/>
    <xf numFmtId="0" fontId="2" fillId="14" borderId="62" xfId="0" applyFont="1" applyFill="1" applyBorder="1" applyAlignment="1">
      <alignment horizontal="left" vertical="center"/>
    </xf>
    <xf numFmtId="2" fontId="2" fillId="3" borderId="63" xfId="0" applyNumberFormat="1" applyFont="1" applyFill="1" applyBorder="1" applyAlignment="1">
      <alignment horizontal="center" vertical="center"/>
    </xf>
    <xf numFmtId="0" fontId="2" fillId="14" borderId="1" xfId="0" applyFont="1" applyFill="1" applyBorder="1" applyAlignment="1">
      <alignment horizontal="left" vertical="center"/>
    </xf>
    <xf numFmtId="2" fontId="2" fillId="3" borderId="2" xfId="0" applyNumberFormat="1" applyFont="1" applyFill="1" applyBorder="1" applyAlignment="1">
      <alignment horizontal="center" vertical="center"/>
    </xf>
    <xf numFmtId="2" fontId="2" fillId="3" borderId="64" xfId="0" applyNumberFormat="1" applyFont="1" applyFill="1" applyBorder="1" applyAlignment="1">
      <alignment horizontal="center" vertical="center"/>
    </xf>
    <xf numFmtId="0" fontId="2" fillId="14" borderId="65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2" fontId="0" fillId="2" borderId="2" xfId="0" applyNumberFormat="1" applyFont="1" applyFill="1" applyBorder="1"/>
    <xf numFmtId="2" fontId="0" fillId="0" borderId="0" xfId="0" applyNumberFormat="1"/>
    <xf numFmtId="0" fontId="2" fillId="0" borderId="0" xfId="0" applyFont="1"/>
    <xf numFmtId="170" fontId="2" fillId="0" borderId="0" xfId="0" applyNumberFormat="1" applyFont="1"/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/>
    </xf>
    <xf numFmtId="0" fontId="5" fillId="5" borderId="6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6" xfId="0" applyFont="1" applyFill="1" applyBorder="1" applyAlignment="1">
      <alignment horizontal="center"/>
    </xf>
    <xf numFmtId="1" fontId="6" fillId="3" borderId="7" xfId="0" applyNumberFormat="1" applyFont="1" applyFill="1" applyBorder="1" applyAlignment="1">
      <alignment horizontal="center"/>
    </xf>
    <xf numFmtId="1" fontId="6" fillId="3" borderId="3" xfId="0" applyNumberFormat="1" applyFont="1" applyFill="1" applyBorder="1" applyAlignment="1">
      <alignment horizontal="center"/>
    </xf>
    <xf numFmtId="0" fontId="6" fillId="6" borderId="5" xfId="0" applyFont="1" applyFill="1" applyBorder="1" applyAlignment="1">
      <alignment horizontal="center" vertical="center"/>
    </xf>
    <xf numFmtId="0" fontId="6" fillId="6" borderId="6" xfId="0" applyFont="1" applyFill="1" applyBorder="1" applyAlignment="1">
      <alignment horizontal="center" vertical="center"/>
    </xf>
    <xf numFmtId="0" fontId="2" fillId="6" borderId="5" xfId="0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0" fontId="2" fillId="7" borderId="5" xfId="0" applyFont="1" applyFill="1" applyBorder="1" applyAlignment="1">
      <alignment horizontal="center"/>
    </xf>
    <xf numFmtId="0" fontId="2" fillId="7" borderId="6" xfId="0" applyFont="1" applyFill="1" applyBorder="1" applyAlignment="1">
      <alignment horizontal="center"/>
    </xf>
    <xf numFmtId="1" fontId="6" fillId="3" borderId="5" xfId="0" applyNumberFormat="1" applyFont="1" applyFill="1" applyBorder="1" applyAlignment="1">
      <alignment horizontal="center"/>
    </xf>
    <xf numFmtId="1" fontId="6" fillId="3" borderId="6" xfId="0" applyNumberFormat="1" applyFont="1" applyFill="1" applyBorder="1" applyAlignment="1">
      <alignment horizontal="center"/>
    </xf>
    <xf numFmtId="0" fontId="2" fillId="7" borderId="61" xfId="0" applyFont="1" applyFill="1" applyBorder="1" applyAlignment="1">
      <alignment horizontal="center"/>
    </xf>
    <xf numFmtId="0" fontId="2" fillId="7" borderId="66" xfId="0" applyFont="1" applyFill="1" applyBorder="1" applyAlignment="1">
      <alignment horizontal="center"/>
    </xf>
    <xf numFmtId="0" fontId="6" fillId="7" borderId="5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68B32"/>
      <color rgb="FF5353FF"/>
      <color rgb="FF3F3FFF"/>
      <color rgb="FF0000FF"/>
      <color rgb="FFFFFF66"/>
      <color rgb="FFCCFF33"/>
      <color rgb="FFCC66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plotArea>
      <c:layout/>
      <c:scatterChart>
        <c:scatterStyle val="smoothMarker"/>
        <c:ser>
          <c:idx val="0"/>
          <c:order val="0"/>
          <c:tx>
            <c:v>ce</c:v>
          </c:tx>
          <c:marker>
            <c:symbol val="none"/>
          </c:marker>
          <c:trendline>
            <c:trendlineType val="log"/>
            <c:dispRSqr val="1"/>
            <c:dispEq val="1"/>
            <c:trendlineLbl>
              <c:numFmt formatCode="General" sourceLinked="0"/>
            </c:trendlineLbl>
          </c:trendline>
          <c:trendline>
            <c:trendlineType val="poly"/>
            <c:order val="2"/>
            <c:dispRSqr val="1"/>
            <c:dispEq val="1"/>
            <c:trendlineLbl>
              <c:numFmt formatCode="General" sourceLinked="0"/>
            </c:trendlineLbl>
          </c:trendline>
          <c:xVal>
            <c:numRef>
              <c:f>[1]PSICRO1!$M$10:$M$20</c:f>
              <c:numCache>
                <c:formatCode>General</c:formatCode>
                <c:ptCount val="11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</c:numCache>
            </c:numRef>
          </c:xVal>
          <c:yVal>
            <c:numRef>
              <c:f>[1]PSICRO1!$N$10:$N$20</c:f>
              <c:numCache>
                <c:formatCode>General</c:formatCode>
                <c:ptCount val="11"/>
                <c:pt idx="0">
                  <c:v>1.8680000000000001</c:v>
                </c:pt>
                <c:pt idx="1">
                  <c:v>1.871</c:v>
                </c:pt>
                <c:pt idx="2">
                  <c:v>1.8740000000000001</c:v>
                </c:pt>
                <c:pt idx="3">
                  <c:v>1.8779999999999999</c:v>
                </c:pt>
                <c:pt idx="4">
                  <c:v>1.8819999999999999</c:v>
                </c:pt>
                <c:pt idx="5">
                  <c:v>1.887</c:v>
                </c:pt>
                <c:pt idx="6">
                  <c:v>1.8919999999999999</c:v>
                </c:pt>
                <c:pt idx="7">
                  <c:v>1.8979999999999999</c:v>
                </c:pt>
                <c:pt idx="8">
                  <c:v>1.9039999999999999</c:v>
                </c:pt>
                <c:pt idx="9">
                  <c:v>1.9119999999999999</c:v>
                </c:pt>
                <c:pt idx="10">
                  <c:v>1.919</c:v>
                </c:pt>
              </c:numCache>
            </c:numRef>
          </c:yVal>
          <c:smooth val="1"/>
        </c:ser>
        <c:ser>
          <c:idx val="1"/>
          <c:order val="1"/>
          <c:tx>
            <c:v>cl</c:v>
          </c:tx>
          <c:marker>
            <c:symbol val="none"/>
          </c:marker>
          <c:trendline>
            <c:trendlineType val="linear"/>
            <c:dispRSqr val="1"/>
            <c:dispEq val="1"/>
            <c:trendlineLbl>
              <c:numFmt formatCode="General" sourceLinked="0"/>
            </c:trendlineLbl>
          </c:trendline>
          <c:xVal>
            <c:numRef>
              <c:f>[1]PSICRO1!$M$10:$M$20</c:f>
              <c:numCache>
                <c:formatCode>General</c:formatCode>
                <c:ptCount val="11"/>
                <c:pt idx="0">
                  <c:v>0</c:v>
                </c:pt>
                <c:pt idx="1">
                  <c:v>5</c:v>
                </c:pt>
                <c:pt idx="2">
                  <c:v>10</c:v>
                </c:pt>
                <c:pt idx="3">
                  <c:v>15</c:v>
                </c:pt>
                <c:pt idx="4">
                  <c:v>20</c:v>
                </c:pt>
                <c:pt idx="5">
                  <c:v>25</c:v>
                </c:pt>
                <c:pt idx="6">
                  <c:v>30</c:v>
                </c:pt>
                <c:pt idx="7">
                  <c:v>35</c:v>
                </c:pt>
                <c:pt idx="8">
                  <c:v>40</c:v>
                </c:pt>
                <c:pt idx="9">
                  <c:v>45</c:v>
                </c:pt>
                <c:pt idx="10">
                  <c:v>50</c:v>
                </c:pt>
              </c:numCache>
            </c:numRef>
          </c:xVal>
          <c:yVal>
            <c:numRef>
              <c:f>[1]PSICRO1!$O$10:$O$20</c:f>
              <c:numCache>
                <c:formatCode>General</c:formatCode>
                <c:ptCount val="11"/>
                <c:pt idx="0">
                  <c:v>2501</c:v>
                </c:pt>
                <c:pt idx="1">
                  <c:v>2489</c:v>
                </c:pt>
                <c:pt idx="2">
                  <c:v>2477</c:v>
                </c:pt>
                <c:pt idx="3">
                  <c:v>2465</c:v>
                </c:pt>
                <c:pt idx="4">
                  <c:v>2453</c:v>
                </c:pt>
                <c:pt idx="5">
                  <c:v>2442</c:v>
                </c:pt>
                <c:pt idx="6">
                  <c:v>2430</c:v>
                </c:pt>
                <c:pt idx="7">
                  <c:v>2418</c:v>
                </c:pt>
                <c:pt idx="8">
                  <c:v>2406</c:v>
                </c:pt>
                <c:pt idx="9">
                  <c:v>2394</c:v>
                </c:pt>
                <c:pt idx="10">
                  <c:v>2382</c:v>
                </c:pt>
              </c:numCache>
            </c:numRef>
          </c:yVal>
          <c:smooth val="1"/>
        </c:ser>
        <c:axId val="183106944"/>
        <c:axId val="182477952"/>
      </c:scatterChart>
      <c:valAx>
        <c:axId val="183106944"/>
        <c:scaling>
          <c:orientation val="minMax"/>
        </c:scaling>
        <c:axPos val="b"/>
        <c:numFmt formatCode="General" sourceLinked="1"/>
        <c:tickLblPos val="nextTo"/>
        <c:crossAx val="182477952"/>
        <c:crosses val="autoZero"/>
        <c:crossBetween val="midCat"/>
      </c:valAx>
      <c:valAx>
        <c:axId val="182477952"/>
        <c:scaling>
          <c:orientation val="minMax"/>
        </c:scaling>
        <c:axPos val="l"/>
        <c:majorGridlines/>
        <c:numFmt formatCode="General" sourceLinked="1"/>
        <c:tickLblPos val="nextTo"/>
        <c:crossAx val="183106944"/>
        <c:crosses val="autoZero"/>
        <c:crossBetween val="midCat"/>
      </c:valAx>
    </c:plotArea>
    <c:legend>
      <c:legendPos val="r"/>
    </c:legend>
    <c:plotVisOnly val="1"/>
  </c:chart>
  <c:printSettings>
    <c:headerFooter/>
    <c:pageMargins b="0.75000000000000755" l="0.70000000000000062" r="0.70000000000000062" t="0.75000000000000755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11934</xdr:colOff>
      <xdr:row>1</xdr:row>
      <xdr:rowOff>4397</xdr:rowOff>
    </xdr:from>
    <xdr:to>
      <xdr:col>2</xdr:col>
      <xdr:colOff>791308</xdr:colOff>
      <xdr:row>1</xdr:row>
      <xdr:rowOff>783771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963448" y="205783"/>
          <a:ext cx="779374" cy="779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</xdr:col>
      <xdr:colOff>5551</xdr:colOff>
      <xdr:row>1</xdr:row>
      <xdr:rowOff>7327</xdr:rowOff>
    </xdr:from>
    <xdr:to>
      <xdr:col>5</xdr:col>
      <xdr:colOff>790573</xdr:colOff>
      <xdr:row>1</xdr:row>
      <xdr:rowOff>783980</xdr:rowOff>
    </xdr:to>
    <xdr:pic>
      <xdr:nvPicPr>
        <xdr:cNvPr id="102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8717263" y="205154"/>
          <a:ext cx="785022" cy="776653"/>
        </a:xfrm>
        <a:prstGeom prst="rect">
          <a:avLst/>
        </a:prstGeom>
        <a:noFill/>
      </xdr:spPr>
    </xdr:pic>
    <xdr:clientData/>
  </xdr:twoCellAnchor>
  <xdr:twoCellAnchor editAs="oneCell">
    <xdr:from>
      <xdr:col>8</xdr:col>
      <xdr:colOff>42225</xdr:colOff>
      <xdr:row>1</xdr:row>
      <xdr:rowOff>5443</xdr:rowOff>
    </xdr:from>
    <xdr:to>
      <xdr:col>8</xdr:col>
      <xdr:colOff>772886</xdr:colOff>
      <xdr:row>1</xdr:row>
      <xdr:rowOff>771525</xdr:rowOff>
    </xdr:to>
    <xdr:pic>
      <xdr:nvPicPr>
        <xdr:cNvPr id="1032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/>
        <a:srcRect/>
        <a:stretch>
          <a:fillRect/>
        </a:stretch>
      </xdr:blipFill>
      <xdr:spPr bwMode="auto">
        <a:xfrm>
          <a:off x="13453425" y="205468"/>
          <a:ext cx="730661" cy="766082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742950</xdr:colOff>
      <xdr:row>7</xdr:row>
      <xdr:rowOff>0</xdr:rowOff>
    </xdr:from>
    <xdr:to>
      <xdr:col>21</xdr:col>
      <xdr:colOff>742950</xdr:colOff>
      <xdr:row>20</xdr:row>
      <xdr:rowOff>76200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ALCULO%20CAMARAS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INCIPAL"/>
      <sheetName val="PRINCIPAL (2)"/>
      <sheetName val="PRINCIPAL (3)"/>
      <sheetName val="PSICRO1"/>
      <sheetName val="PSICRO2"/>
      <sheetName val="UNIDADES"/>
      <sheetName val="CTES RESPIRACION"/>
      <sheetName val="AUX"/>
      <sheetName val="BASE DATOS"/>
      <sheetName val="FORMULACION"/>
    </sheetNames>
    <sheetDataSet>
      <sheetData sheetId="0"/>
      <sheetData sheetId="1"/>
      <sheetData sheetId="2"/>
      <sheetData sheetId="3">
        <row r="10">
          <cell r="M10">
            <v>0</v>
          </cell>
          <cell r="N10">
            <v>1.8680000000000001</v>
          </cell>
          <cell r="O10">
            <v>2501</v>
          </cell>
        </row>
        <row r="11">
          <cell r="M11">
            <v>5</v>
          </cell>
          <cell r="N11">
            <v>1.871</v>
          </cell>
          <cell r="O11">
            <v>2489</v>
          </cell>
        </row>
        <row r="12">
          <cell r="M12">
            <v>10</v>
          </cell>
          <cell r="N12">
            <v>1.8740000000000001</v>
          </cell>
          <cell r="O12">
            <v>2477</v>
          </cell>
        </row>
        <row r="13">
          <cell r="M13">
            <v>15</v>
          </cell>
          <cell r="N13">
            <v>1.8779999999999999</v>
          </cell>
          <cell r="O13">
            <v>2465</v>
          </cell>
        </row>
        <row r="14">
          <cell r="M14">
            <v>20</v>
          </cell>
          <cell r="N14">
            <v>1.8819999999999999</v>
          </cell>
          <cell r="O14">
            <v>2453</v>
          </cell>
        </row>
        <row r="15">
          <cell r="M15">
            <v>25</v>
          </cell>
          <cell r="N15">
            <v>1.887</v>
          </cell>
          <cell r="O15">
            <v>2442</v>
          </cell>
        </row>
        <row r="16">
          <cell r="M16">
            <v>30</v>
          </cell>
          <cell r="N16">
            <v>1.8919999999999999</v>
          </cell>
          <cell r="O16">
            <v>2430</v>
          </cell>
        </row>
        <row r="17">
          <cell r="M17">
            <v>35</v>
          </cell>
          <cell r="N17">
            <v>1.8979999999999999</v>
          </cell>
          <cell r="O17">
            <v>2418</v>
          </cell>
        </row>
        <row r="18">
          <cell r="M18">
            <v>40</v>
          </cell>
          <cell r="N18">
            <v>1.9039999999999999</v>
          </cell>
          <cell r="O18">
            <v>2406</v>
          </cell>
        </row>
        <row r="19">
          <cell r="M19">
            <v>45</v>
          </cell>
          <cell r="N19">
            <v>1.9119999999999999</v>
          </cell>
          <cell r="O19">
            <v>2394</v>
          </cell>
        </row>
        <row r="20">
          <cell r="M20">
            <v>50</v>
          </cell>
          <cell r="N20">
            <v>1.919</v>
          </cell>
          <cell r="O20">
            <v>2382</v>
          </cell>
        </row>
      </sheetData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Q38"/>
  <sheetViews>
    <sheetView tabSelected="1" topLeftCell="D1" zoomScaleNormal="100" workbookViewId="0">
      <selection activeCell="A22" sqref="A22:XFD38"/>
    </sheetView>
  </sheetViews>
  <sheetFormatPr baseColWidth="10" defaultRowHeight="15"/>
  <cols>
    <col min="2" max="2" width="47.85546875" bestFit="1" customWidth="1"/>
    <col min="3" max="3" width="12" bestFit="1" customWidth="1"/>
    <col min="5" max="5" width="44" bestFit="1" customWidth="1"/>
    <col min="6" max="6" width="12" bestFit="1" customWidth="1"/>
    <col min="7" max="7" width="14.5703125" customWidth="1"/>
    <col min="8" max="8" width="47.5703125" bestFit="1" customWidth="1"/>
    <col min="9" max="9" width="11.85546875" customWidth="1"/>
    <col min="10" max="10" width="5.28515625" customWidth="1"/>
    <col min="11" max="11" width="21.5703125" bestFit="1" customWidth="1"/>
  </cols>
  <sheetData>
    <row r="1" spans="2:17" ht="15.75" thickBot="1"/>
    <row r="2" spans="2:17" ht="62.25" customHeight="1" thickBot="1">
      <c r="B2" s="111" t="s">
        <v>28</v>
      </c>
      <c r="C2" s="112"/>
      <c r="E2" s="119" t="s">
        <v>29</v>
      </c>
      <c r="F2" s="120"/>
      <c r="H2" s="129" t="s">
        <v>42</v>
      </c>
      <c r="I2" s="130"/>
    </row>
    <row r="3" spans="2:17" ht="15.75" thickBot="1">
      <c r="B3" s="113" t="s">
        <v>26</v>
      </c>
      <c r="C3" s="114"/>
      <c r="E3" s="113" t="s">
        <v>26</v>
      </c>
      <c r="F3" s="114"/>
      <c r="G3" s="3"/>
      <c r="H3" s="113" t="s">
        <v>26</v>
      </c>
      <c r="I3" s="114"/>
      <c r="K3" s="127" t="s">
        <v>113</v>
      </c>
      <c r="L3" s="128"/>
    </row>
    <row r="4" spans="2:17">
      <c r="B4" s="6" t="s">
        <v>9</v>
      </c>
      <c r="C4" s="7">
        <v>15</v>
      </c>
      <c r="E4" s="6" t="s">
        <v>9</v>
      </c>
      <c r="F4" s="7">
        <v>80</v>
      </c>
      <c r="H4" s="4" t="s">
        <v>8</v>
      </c>
      <c r="I4" s="7">
        <v>13</v>
      </c>
      <c r="K4" s="99" t="s">
        <v>114</v>
      </c>
      <c r="L4" s="100">
        <f>I23*(I6/100)/(1-(I6/100))+I23</f>
        <v>18.153749999999999</v>
      </c>
    </row>
    <row r="5" spans="2:17">
      <c r="B5" s="4" t="s">
        <v>25</v>
      </c>
      <c r="C5" s="8">
        <v>-15</v>
      </c>
      <c r="E5" s="4" t="s">
        <v>25</v>
      </c>
      <c r="F5" s="8">
        <v>5</v>
      </c>
      <c r="H5" s="4" t="s">
        <v>53</v>
      </c>
      <c r="I5" s="8">
        <v>75</v>
      </c>
      <c r="K5" s="101" t="s">
        <v>121</v>
      </c>
      <c r="L5" s="102">
        <f>I23*(I7/100)/(1-(I7/100))+I23</f>
        <v>16.757307692307691</v>
      </c>
    </row>
    <row r="6" spans="2:17">
      <c r="B6" s="4" t="s">
        <v>3</v>
      </c>
      <c r="C6" s="8">
        <v>-2.2000000000000002</v>
      </c>
      <c r="E6" s="4" t="s">
        <v>8</v>
      </c>
      <c r="F6" s="8">
        <v>0</v>
      </c>
      <c r="H6" s="4" t="s">
        <v>54</v>
      </c>
      <c r="I6" s="8">
        <v>76</v>
      </c>
      <c r="K6" s="101" t="s">
        <v>115</v>
      </c>
      <c r="L6" s="102">
        <f>I23*(I8/100)/(1-(I8/100))+I23</f>
        <v>14.054516129032255</v>
      </c>
    </row>
    <row r="7" spans="2:17">
      <c r="B7" s="4" t="s">
        <v>8</v>
      </c>
      <c r="C7" s="8">
        <v>-35</v>
      </c>
      <c r="E7" s="4" t="s">
        <v>22</v>
      </c>
      <c r="F7" s="8">
        <v>35</v>
      </c>
      <c r="H7" s="4" t="s">
        <v>120</v>
      </c>
      <c r="I7" s="107">
        <v>74</v>
      </c>
      <c r="K7" s="101" t="s">
        <v>118</v>
      </c>
      <c r="L7" s="102">
        <f>L5-L6</f>
        <v>2.7027915632754365</v>
      </c>
    </row>
    <row r="8" spans="2:17">
      <c r="B8" s="4" t="s">
        <v>22</v>
      </c>
      <c r="C8" s="8">
        <v>71.25</v>
      </c>
      <c r="E8" s="4" t="s">
        <v>23</v>
      </c>
      <c r="F8" s="8">
        <v>150</v>
      </c>
      <c r="H8" s="4" t="s">
        <v>124</v>
      </c>
      <c r="I8" s="107">
        <v>69</v>
      </c>
      <c r="K8" s="101" t="s">
        <v>117</v>
      </c>
      <c r="L8" s="102">
        <f>100*L7/L5</f>
        <v>16.12903225806453</v>
      </c>
      <c r="N8" s="109"/>
      <c r="O8" s="109"/>
      <c r="P8" s="109"/>
      <c r="Q8" s="109"/>
    </row>
    <row r="9" spans="2:17">
      <c r="B9" s="4" t="s">
        <v>23</v>
      </c>
      <c r="C9" s="8">
        <v>71.25</v>
      </c>
      <c r="E9" s="4" t="s">
        <v>24</v>
      </c>
      <c r="F9" s="8">
        <v>150</v>
      </c>
      <c r="H9" s="4" t="s">
        <v>22</v>
      </c>
      <c r="I9" s="8">
        <v>150</v>
      </c>
      <c r="K9" s="101" t="s">
        <v>119</v>
      </c>
      <c r="L9" s="102">
        <f>L4-L6</f>
        <v>4.0992338709677441</v>
      </c>
      <c r="N9" s="108"/>
      <c r="O9" s="108"/>
      <c r="P9" s="108"/>
      <c r="Q9" s="108"/>
    </row>
    <row r="10" spans="2:17" ht="15.75" thickBot="1">
      <c r="B10" s="4" t="s">
        <v>24</v>
      </c>
      <c r="C10" s="8">
        <v>380</v>
      </c>
      <c r="E10" s="4" t="s">
        <v>2</v>
      </c>
      <c r="F10" s="8">
        <v>1135</v>
      </c>
      <c r="H10" s="4" t="s">
        <v>23</v>
      </c>
      <c r="I10" s="8">
        <v>250</v>
      </c>
      <c r="K10" s="104" t="s">
        <v>116</v>
      </c>
      <c r="L10" s="103">
        <f>100*(L4-L6)/L4</f>
        <v>22.580645161290334</v>
      </c>
      <c r="N10" s="108"/>
      <c r="O10" s="108"/>
      <c r="P10" s="108"/>
      <c r="Q10" s="108"/>
    </row>
    <row r="11" spans="2:17">
      <c r="B11" s="4" t="s">
        <v>2</v>
      </c>
      <c r="C11" s="8">
        <v>1071</v>
      </c>
      <c r="E11" s="4" t="s">
        <v>110</v>
      </c>
      <c r="F11" s="8">
        <v>3680</v>
      </c>
      <c r="H11" s="4" t="s">
        <v>24</v>
      </c>
      <c r="I11" s="8">
        <v>470</v>
      </c>
      <c r="K11" s="105"/>
      <c r="L11" s="106"/>
      <c r="O11" s="110"/>
      <c r="P11" s="108"/>
    </row>
    <row r="12" spans="2:17">
      <c r="B12" s="4" t="s">
        <v>4</v>
      </c>
      <c r="C12" s="8">
        <v>982</v>
      </c>
      <c r="E12" s="4" t="s">
        <v>109</v>
      </c>
      <c r="F12" s="8">
        <v>0.48</v>
      </c>
      <c r="H12" s="4" t="s">
        <v>2</v>
      </c>
      <c r="I12" s="8">
        <v>1030</v>
      </c>
      <c r="K12" s="105"/>
      <c r="L12" s="106"/>
    </row>
    <row r="13" spans="2:17" ht="15.75" thickBot="1">
      <c r="B13" s="4" t="s">
        <v>110</v>
      </c>
      <c r="C13" s="8">
        <v>3750</v>
      </c>
      <c r="E13" s="5" t="s">
        <v>11</v>
      </c>
      <c r="F13" s="9">
        <v>40</v>
      </c>
      <c r="H13" s="5" t="s">
        <v>11</v>
      </c>
      <c r="I13" s="9">
        <v>10</v>
      </c>
      <c r="K13" s="105"/>
      <c r="L13" s="106"/>
    </row>
    <row r="14" spans="2:17" ht="15.75" thickBot="1">
      <c r="B14" s="4" t="s">
        <v>111</v>
      </c>
      <c r="C14" s="8">
        <v>2150</v>
      </c>
      <c r="E14" s="121" t="s">
        <v>30</v>
      </c>
      <c r="F14" s="122"/>
      <c r="H14" s="4" t="s">
        <v>107</v>
      </c>
      <c r="I14" s="8">
        <v>0.7</v>
      </c>
      <c r="K14" s="105"/>
      <c r="L14" s="106"/>
    </row>
    <row r="15" spans="2:17" ht="17.25" customHeight="1" thickBot="1">
      <c r="B15" s="4" t="s">
        <v>1</v>
      </c>
      <c r="C15" s="8">
        <v>265000</v>
      </c>
      <c r="E15" s="117">
        <f>(1/60)*(-F33/2.303)*LN((F5-F6)/(F34*(F4-F6)))</f>
        <v>115.94936798215954</v>
      </c>
      <c r="F15" s="118"/>
      <c r="H15" s="4" t="s">
        <v>108</v>
      </c>
      <c r="I15" s="8">
        <v>0.4</v>
      </c>
      <c r="K15" s="105"/>
      <c r="L15" s="106"/>
    </row>
    <row r="16" spans="2:17" ht="15.75" thickBot="1">
      <c r="B16" s="4" t="s">
        <v>109</v>
      </c>
      <c r="C16" s="8">
        <v>0.5</v>
      </c>
      <c r="G16" s="12"/>
      <c r="H16" s="123" t="s">
        <v>43</v>
      </c>
      <c r="I16" s="124"/>
      <c r="K16" s="105"/>
      <c r="L16" s="106"/>
    </row>
    <row r="17" spans="2:12" ht="19.5" thickBot="1">
      <c r="B17" s="4" t="s">
        <v>112</v>
      </c>
      <c r="C17" s="8">
        <v>1.6</v>
      </c>
      <c r="H17" s="125">
        <f>IF(I25&gt;I32,(I23*(I24-I25)/(I31*I26*(I30-I29)))/(3600*24),(I23*(I24-I32)/(I31*I26*(I30-I29))+((I23*(I32-I33)/(I31*I26*(I30-I29)))*LN((I32-I33)/(I25-I33))))/(3600*24))</f>
        <v>72.615299858981501</v>
      </c>
      <c r="I17" s="126"/>
      <c r="K17" s="105"/>
      <c r="L17" s="14"/>
    </row>
    <row r="18" spans="2:12" ht="15.75" thickBot="1">
      <c r="B18" s="5" t="s">
        <v>11</v>
      </c>
      <c r="C18" s="9">
        <v>40</v>
      </c>
      <c r="K18" s="105"/>
      <c r="L18" s="14"/>
    </row>
    <row r="19" spans="2:12" ht="15.75" thickBot="1">
      <c r="B19" s="115" t="s">
        <v>27</v>
      </c>
      <c r="C19" s="116"/>
      <c r="I19" s="98"/>
      <c r="K19" s="105"/>
      <c r="L19" s="14"/>
    </row>
    <row r="20" spans="2:12" ht="18" customHeight="1" thickBot="1">
      <c r="B20" s="117">
        <f>((C23/(C6-C7))*(C24*(C8/1000)/C18+C28*((C8/1000)^2)/C17)*(1-(1.65*C25/C17)*LN((C5-C7)/(-10-C7))))/(C29*60)</f>
        <v>138.220781733781</v>
      </c>
      <c r="C20" s="118"/>
      <c r="I20" s="98"/>
      <c r="J20" s="13"/>
      <c r="K20" s="13"/>
      <c r="L20" s="14"/>
    </row>
    <row r="21" spans="2:12">
      <c r="B21" s="2"/>
      <c r="E21" s="2"/>
      <c r="J21" s="13"/>
      <c r="K21" s="14"/>
    </row>
    <row r="22" spans="2:12" hidden="1">
      <c r="B22" s="1"/>
      <c r="E22" s="1"/>
    </row>
    <row r="23" spans="2:12" hidden="1">
      <c r="B23" s="2" t="s">
        <v>0</v>
      </c>
      <c r="C23" s="2">
        <f>C15*C11+C14*(C6+10)*C12</f>
        <v>300283140</v>
      </c>
      <c r="E23" s="2" t="s">
        <v>32</v>
      </c>
      <c r="F23" s="10">
        <f>(F8/1000)*(F7/1000)</f>
        <v>5.2500000000000003E-3</v>
      </c>
      <c r="H23" s="1" t="s">
        <v>44</v>
      </c>
      <c r="I23" s="2">
        <f>I12*(1-I6/100)*(I11/1000)*(I10/1000)*(I9/1000)</f>
        <v>4.3568999999999996</v>
      </c>
    </row>
    <row r="24" spans="2:12" hidden="1">
      <c r="B24" s="2" t="s">
        <v>5</v>
      </c>
      <c r="C24" s="2">
        <f>0.5072+0.2018*C26+C25*(0.3224*C26+0.0105/C27+0.0681)</f>
        <v>0.58779249828894542</v>
      </c>
      <c r="E24" s="2" t="s">
        <v>33</v>
      </c>
      <c r="F24" s="10">
        <f>(F9/1000)*(F7/1000)</f>
        <v>5.2500000000000003E-3</v>
      </c>
      <c r="H24" s="1" t="s">
        <v>45</v>
      </c>
      <c r="I24" s="2">
        <f>(I7/100)/(1-I7/100)</f>
        <v>2.8461538461538458</v>
      </c>
    </row>
    <row r="25" spans="2:12" hidden="1">
      <c r="B25" s="2" t="s">
        <v>6</v>
      </c>
      <c r="C25" s="2">
        <f>C14*C12*(C6-C7)/C23</f>
        <v>0.23061780957798697</v>
      </c>
      <c r="E25" s="2" t="s">
        <v>34</v>
      </c>
      <c r="F25" s="2">
        <f>F23/(3.14159*(F7/2000)^2)</f>
        <v>5.4567455151235968</v>
      </c>
      <c r="H25" s="1" t="s">
        <v>46</v>
      </c>
      <c r="I25" s="2">
        <f>(I8/100)/(1-I8/100)</f>
        <v>2.2258064516129026</v>
      </c>
    </row>
    <row r="26" spans="2:12" hidden="1">
      <c r="B26" s="2" t="s">
        <v>7</v>
      </c>
      <c r="C26" s="2">
        <f>C13*C11*(C4-C6)/C23</f>
        <v>0.23004788081009145</v>
      </c>
      <c r="E26" s="2" t="s">
        <v>35</v>
      </c>
      <c r="F26" s="2">
        <f>F24/(3.14159*(F7/2000)^2)</f>
        <v>5.4567455151235968</v>
      </c>
      <c r="H26" s="1" t="s">
        <v>47</v>
      </c>
      <c r="I26" s="2">
        <f>2*(I11/1000)*(I10/1000)+2*(I11/1000)*(I9/1000)+2*(I9/1000)*(I10/1000)</f>
        <v>0.45100000000000001</v>
      </c>
    </row>
    <row r="27" spans="2:12" hidden="1">
      <c r="B27" s="2" t="s">
        <v>10</v>
      </c>
      <c r="C27" s="2">
        <f>C18*C8/(1000*C17)</f>
        <v>1.78125</v>
      </c>
      <c r="E27" s="2" t="s">
        <v>36</v>
      </c>
      <c r="F27" s="2">
        <f>1/4+3/(8*(F25^2))+3/(8*(F26^2))</f>
        <v>0.2751880103477552</v>
      </c>
      <c r="H27" s="1" t="s">
        <v>48</v>
      </c>
      <c r="I27" s="94">
        <f>AUX!C4</f>
        <v>10.563264021909845</v>
      </c>
    </row>
    <row r="28" spans="2:12" hidden="1">
      <c r="B28" s="2" t="s">
        <v>12</v>
      </c>
      <c r="C28" s="2">
        <f>0.1684+C25*(0.274*C26-0.0135)</f>
        <v>0.17982321948420898</v>
      </c>
      <c r="E28" s="2" t="s">
        <v>37</v>
      </c>
      <c r="F28" s="2">
        <f>LN(F27)</f>
        <v>-1.2903007409223282</v>
      </c>
      <c r="H28" s="1" t="s">
        <v>49</v>
      </c>
      <c r="I28" s="11">
        <f>EXP(-5800.2206*((I27+273.15)^(-1))+1.3914993-0.048640239*(I27+273.15)+0.000041764768*((I27+273.15)^2)-0.000000014452093*((I27+273.15)^3)+6.5459673*LN(I27+273.15))</f>
        <v>1275.11529292658</v>
      </c>
    </row>
    <row r="29" spans="2:12" hidden="1">
      <c r="B29" s="2" t="s">
        <v>13</v>
      </c>
      <c r="C29" s="2">
        <f>1+C30+C34</f>
        <v>1.8803952709504559</v>
      </c>
      <c r="E29" s="11" t="s">
        <v>10</v>
      </c>
      <c r="F29" s="1">
        <f>F13*F7/(2000*F12)</f>
        <v>1.4583333333333333</v>
      </c>
      <c r="H29" s="1" t="s">
        <v>50</v>
      </c>
      <c r="I29" s="95">
        <f>AUX!C8/1000</f>
        <v>6.9816229451973646E-3</v>
      </c>
    </row>
    <row r="30" spans="2:12" hidden="1">
      <c r="B30" s="2" t="s">
        <v>14</v>
      </c>
      <c r="C30" s="2">
        <f>C32*(1/C31)+(1-C32)*(0.73/(C31^2.5))</f>
        <v>0.86958584516230431</v>
      </c>
      <c r="E30" s="11" t="s">
        <v>39</v>
      </c>
      <c r="F30" s="1">
        <f>LN(1/F29)</f>
        <v>-0.37729423114146804</v>
      </c>
      <c r="H30" s="1" t="s">
        <v>51</v>
      </c>
      <c r="I30" s="1">
        <f>0.62198*I28/(AUX!C7-I28)</f>
        <v>7.9368225523462534E-3</v>
      </c>
    </row>
    <row r="31" spans="2:12" hidden="1">
      <c r="B31" s="2" t="s">
        <v>18</v>
      </c>
      <c r="C31" s="2">
        <f>C9/C8</f>
        <v>1</v>
      </c>
      <c r="E31" s="2" t="s">
        <v>38</v>
      </c>
      <c r="F31" s="2">
        <f>EXP(0.9208309+0.83409615*F28-0.78765739*F30-0.04821784*F28*F30-0.04088987*(F28^2)-0.10045526*(F30^2)+0.01521388*(F28^3)+0.00119941*F28*(F30^3)+0.00129982*(F30^4))</f>
        <v>1.0033573558453874</v>
      </c>
      <c r="H31" s="1" t="s">
        <v>52</v>
      </c>
      <c r="I31" s="2">
        <f>I13/10000</f>
        <v>1E-3</v>
      </c>
    </row>
    <row r="32" spans="2:12" hidden="1">
      <c r="B32" s="2" t="s">
        <v>16</v>
      </c>
      <c r="C32" s="2">
        <f>C33/((C27^1.34)+C33)</f>
        <v>0.5169846117122382</v>
      </c>
      <c r="E32" s="2" t="s">
        <v>41</v>
      </c>
      <c r="F32" s="2">
        <f>F12/(F10*F11)</f>
        <v>1.1492051331162612E-7</v>
      </c>
      <c r="H32" s="1" t="s">
        <v>105</v>
      </c>
      <c r="I32" s="96">
        <f>I14</f>
        <v>0.7</v>
      </c>
    </row>
    <row r="33" spans="2:9" hidden="1">
      <c r="B33" s="2" t="s">
        <v>17</v>
      </c>
      <c r="C33" s="2">
        <f>2.32/(C31^1.77)</f>
        <v>2.3199999999999998</v>
      </c>
      <c r="E33" s="2" t="s">
        <v>40</v>
      </c>
      <c r="F33" s="2">
        <f>(2.303*((F7/2000)^2)/(F31*F32))</f>
        <v>6116.6951922252647</v>
      </c>
      <c r="H33" s="1" t="s">
        <v>106</v>
      </c>
      <c r="I33" s="97">
        <f>I15</f>
        <v>0.4</v>
      </c>
    </row>
    <row r="34" spans="2:9" hidden="1">
      <c r="B34" s="2" t="s">
        <v>15</v>
      </c>
      <c r="C34" s="2">
        <f>C36*(1/C35)+(1-C36)*(0.5/(C35^3.69))</f>
        <v>1.0809425788151574E-2</v>
      </c>
      <c r="E34" s="2" t="s">
        <v>31</v>
      </c>
      <c r="F34" s="2">
        <f>0.892*EXP(-0.0388*F31)</f>
        <v>0.85794145867116911</v>
      </c>
      <c r="I34" s="1"/>
    </row>
    <row r="35" spans="2:9" hidden="1">
      <c r="B35" s="2" t="s">
        <v>19</v>
      </c>
      <c r="C35" s="2">
        <f>C10/C8</f>
        <v>5.333333333333333</v>
      </c>
      <c r="E35" s="2"/>
      <c r="F35" s="2"/>
    </row>
    <row r="36" spans="2:9" hidden="1">
      <c r="B36" s="2" t="s">
        <v>20</v>
      </c>
      <c r="C36" s="2">
        <f>C37/((C27^1.34)+C37)</f>
        <v>5.2402591518666823E-2</v>
      </c>
      <c r="E36" s="2"/>
      <c r="F36" s="2"/>
    </row>
    <row r="37" spans="2:9" hidden="1">
      <c r="B37" s="2" t="s">
        <v>21</v>
      </c>
      <c r="C37" s="2">
        <f>2.32/(C35^1.77)</f>
        <v>0.11986716570969459</v>
      </c>
      <c r="E37" s="2"/>
      <c r="F37" s="2"/>
    </row>
    <row r="38" spans="2:9" hidden="1"/>
  </sheetData>
  <mergeCells count="13">
    <mergeCell ref="H16:I16"/>
    <mergeCell ref="H17:I17"/>
    <mergeCell ref="K3:L3"/>
    <mergeCell ref="H2:I2"/>
    <mergeCell ref="H3:I3"/>
    <mergeCell ref="B2:C2"/>
    <mergeCell ref="B3:C3"/>
    <mergeCell ref="B19:C19"/>
    <mergeCell ref="B20:C20"/>
    <mergeCell ref="E2:F2"/>
    <mergeCell ref="E3:F3"/>
    <mergeCell ref="E14:F14"/>
    <mergeCell ref="E15:F15"/>
  </mergeCells>
  <pageMargins left="0.7" right="0.7" top="0.75" bottom="0.75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O45"/>
  <sheetViews>
    <sheetView workbookViewId="0">
      <selection activeCell="C4" sqref="C4"/>
    </sheetView>
  </sheetViews>
  <sheetFormatPr baseColWidth="10" defaultRowHeight="15"/>
  <cols>
    <col min="2" max="2" width="37.42578125" bestFit="1" customWidth="1"/>
  </cols>
  <sheetData>
    <row r="1" spans="2:15" ht="15.75" thickBot="1"/>
    <row r="2" spans="2:15" ht="15.75" thickBot="1">
      <c r="B2" s="15" t="s">
        <v>55</v>
      </c>
      <c r="C2" s="16">
        <f>TIEMPOS!I4</f>
        <v>13</v>
      </c>
      <c r="F2" s="17" t="s">
        <v>56</v>
      </c>
      <c r="G2" s="18"/>
      <c r="H2" s="18"/>
      <c r="I2" s="19"/>
      <c r="J2" s="20"/>
    </row>
    <row r="3" spans="2:15">
      <c r="B3" s="15" t="s">
        <v>57</v>
      </c>
      <c r="C3" s="16">
        <f>TIEMPOS!I5</f>
        <v>75</v>
      </c>
      <c r="F3" s="21" t="s">
        <v>58</v>
      </c>
      <c r="G3" s="22"/>
      <c r="H3" s="23"/>
      <c r="I3" s="24">
        <f>C2</f>
        <v>13</v>
      </c>
      <c r="J3" s="20"/>
    </row>
    <row r="4" spans="2:15" ht="15.75" thickBot="1">
      <c r="B4" s="15" t="s">
        <v>59</v>
      </c>
      <c r="C4" s="16">
        <f>C2-(0.2726*C2+C8*(-1.569+0.04316*C2-0.000342*C2^2)+0.003606*C2^2-0.00006374*C2^3+5.864)</f>
        <v>10.563264021909845</v>
      </c>
      <c r="F4" s="25" t="s">
        <v>60</v>
      </c>
      <c r="G4" s="26"/>
      <c r="H4" s="27"/>
      <c r="I4" s="28">
        <f>C6</f>
        <v>10.35</v>
      </c>
      <c r="J4" s="20"/>
    </row>
    <row r="5" spans="2:15">
      <c r="B5" s="15" t="s">
        <v>61</v>
      </c>
      <c r="C5" s="16">
        <f>I38</f>
        <v>8.6180533573825109</v>
      </c>
      <c r="F5" s="20"/>
      <c r="G5" s="20"/>
      <c r="H5" s="20"/>
      <c r="I5" s="20"/>
      <c r="J5" s="20"/>
    </row>
    <row r="6" spans="2:15" ht="15.75" thickBot="1">
      <c r="B6" s="15" t="s">
        <v>62</v>
      </c>
      <c r="C6" s="16">
        <v>10.35</v>
      </c>
      <c r="F6" s="29"/>
      <c r="G6" s="29"/>
      <c r="H6" s="29"/>
      <c r="I6" s="29"/>
      <c r="J6" s="20"/>
    </row>
    <row r="7" spans="2:15" ht="15.75" thickBot="1">
      <c r="B7" s="15" t="s">
        <v>63</v>
      </c>
      <c r="C7" s="16">
        <f>101325*(1-I34/(I33+273.15)*C6)^(9.807/I17/I34/1000)</f>
        <v>101201.27650715482</v>
      </c>
      <c r="F7" s="30" t="s">
        <v>64</v>
      </c>
      <c r="G7" s="31"/>
      <c r="H7" s="31"/>
      <c r="I7" s="32"/>
      <c r="J7" s="20"/>
    </row>
    <row r="8" spans="2:15" ht="45.75" thickBot="1">
      <c r="B8" s="15" t="s">
        <v>65</v>
      </c>
      <c r="C8" s="16">
        <f>1000*0.62198*(C3/100)*C9/(C7-(C3/100)*C9)</f>
        <v>6.9816229451973646</v>
      </c>
      <c r="F8" s="33"/>
      <c r="G8" s="34" t="s">
        <v>66</v>
      </c>
      <c r="H8" s="34" t="s">
        <v>67</v>
      </c>
      <c r="I8" s="33"/>
      <c r="J8" s="20"/>
    </row>
    <row r="9" spans="2:15">
      <c r="B9" s="15" t="s">
        <v>68</v>
      </c>
      <c r="C9" s="16">
        <f>I30</f>
        <v>1497.8108432903609</v>
      </c>
      <c r="F9" s="35" t="s">
        <v>69</v>
      </c>
      <c r="G9" s="36">
        <v>28</v>
      </c>
      <c r="H9" s="37">
        <v>0.78083999999999998</v>
      </c>
      <c r="I9" s="38">
        <f>H9/G9</f>
        <v>2.7887142857142857E-2</v>
      </c>
      <c r="J9" s="20"/>
      <c r="M9" t="s">
        <v>70</v>
      </c>
      <c r="N9" t="s">
        <v>71</v>
      </c>
      <c r="O9" t="s">
        <v>72</v>
      </c>
    </row>
    <row r="10" spans="2:15">
      <c r="B10" s="39" t="s">
        <v>73</v>
      </c>
      <c r="C10" s="40">
        <f>1.006*C2+(C8/1000)*(2501.3+1.89*C2)</f>
        <v>30.712671948585669</v>
      </c>
      <c r="F10" s="41" t="s">
        <v>74</v>
      </c>
      <c r="G10" s="42">
        <v>32</v>
      </c>
      <c r="H10" s="43">
        <v>0.209476</v>
      </c>
      <c r="I10" s="44">
        <f>H10/G10</f>
        <v>6.5461249999999999E-3</v>
      </c>
      <c r="J10" s="20"/>
      <c r="M10">
        <v>0</v>
      </c>
      <c r="N10">
        <v>1.8680000000000001</v>
      </c>
      <c r="O10">
        <v>2501</v>
      </c>
    </row>
    <row r="11" spans="2:15">
      <c r="B11" s="39" t="s">
        <v>75</v>
      </c>
      <c r="C11" s="40">
        <f>1.006*C2+(C8/1000)*(1.89*C2)</f>
        <v>13.249538475763499</v>
      </c>
      <c r="F11" s="41" t="s">
        <v>76</v>
      </c>
      <c r="G11" s="42">
        <v>44.01</v>
      </c>
      <c r="H11" s="43">
        <v>3.5E-4</v>
      </c>
      <c r="I11" s="44">
        <f>H11/G11</f>
        <v>7.9527380140877079E-6</v>
      </c>
      <c r="J11" s="20"/>
      <c r="M11">
        <v>5</v>
      </c>
      <c r="N11">
        <v>1.871</v>
      </c>
      <c r="O11">
        <v>2489</v>
      </c>
    </row>
    <row r="12" spans="2:15">
      <c r="B12" s="39" t="s">
        <v>77</v>
      </c>
      <c r="C12" s="40">
        <f>(C8/1000)*(2501.3)</f>
        <v>17.463133472822168</v>
      </c>
      <c r="F12" s="41" t="s">
        <v>78</v>
      </c>
      <c r="G12" s="42">
        <v>40</v>
      </c>
      <c r="H12" s="43">
        <v>9.2999999999999992E-3</v>
      </c>
      <c r="I12" s="44">
        <f>H12/G12</f>
        <v>2.3249999999999999E-4</v>
      </c>
      <c r="J12" s="20"/>
      <c r="M12">
        <v>10</v>
      </c>
      <c r="N12">
        <v>1.8740000000000001</v>
      </c>
      <c r="O12">
        <v>2477</v>
      </c>
    </row>
    <row r="13" spans="2:15">
      <c r="B13" s="39" t="s">
        <v>79</v>
      </c>
      <c r="C13" s="45">
        <f>0.2870551882*(C2+273.15)*(1+1.6078*C8/1000)/101.32503</f>
        <v>0.81976662074517581</v>
      </c>
      <c r="F13" s="41" t="s">
        <v>80</v>
      </c>
      <c r="G13" s="42">
        <v>10</v>
      </c>
      <c r="H13" s="43">
        <v>1.8E-5</v>
      </c>
      <c r="I13" s="44">
        <f t="shared" ref="I13:I14" si="0">H13/G13</f>
        <v>1.8000000000000001E-6</v>
      </c>
      <c r="J13" s="20"/>
      <c r="M13">
        <v>15</v>
      </c>
      <c r="N13">
        <v>1.8779999999999999</v>
      </c>
      <c r="O13">
        <v>2465</v>
      </c>
    </row>
    <row r="14" spans="2:15" ht="15.75" thickBot="1">
      <c r="C14" s="46"/>
      <c r="F14" s="47" t="s">
        <v>81</v>
      </c>
      <c r="G14" s="48">
        <v>4</v>
      </c>
      <c r="H14" s="49">
        <v>1.5999999999999999E-5</v>
      </c>
      <c r="I14" s="50">
        <f t="shared" si="0"/>
        <v>3.9999999999999998E-6</v>
      </c>
      <c r="J14" s="20"/>
      <c r="M14">
        <v>20</v>
      </c>
      <c r="N14">
        <v>1.8819999999999999</v>
      </c>
      <c r="O14">
        <v>2453</v>
      </c>
    </row>
    <row r="15" spans="2:15" ht="15.75" thickBot="1">
      <c r="C15" s="46">
        <f>C10*1000</f>
        <v>30712.67194858567</v>
      </c>
      <c r="F15" s="51" t="s">
        <v>82</v>
      </c>
      <c r="G15" s="52"/>
      <c r="H15" s="53">
        <f>SUM(H9:H14)</f>
        <v>0.99999999999999989</v>
      </c>
      <c r="I15" s="54"/>
      <c r="J15" s="29"/>
      <c r="K15" s="29"/>
      <c r="L15" s="55"/>
      <c r="M15" s="29">
        <v>25</v>
      </c>
      <c r="N15">
        <v>1.887</v>
      </c>
      <c r="O15">
        <v>2442</v>
      </c>
    </row>
    <row r="16" spans="2:15">
      <c r="B16">
        <f>(20713-13865)*(13-2.5)/(31713-13865)+2.5</f>
        <v>6.5286866875840435</v>
      </c>
      <c r="C16" s="46"/>
      <c r="F16" s="21" t="s">
        <v>83</v>
      </c>
      <c r="G16" s="22"/>
      <c r="H16" s="23"/>
      <c r="I16" s="56">
        <f>1/SUM(I9:I14)</f>
        <v>28.835462049024166</v>
      </c>
      <c r="J16" s="20"/>
      <c r="M16">
        <v>30</v>
      </c>
      <c r="N16">
        <v>1.8919999999999999</v>
      </c>
      <c r="O16">
        <v>2430</v>
      </c>
    </row>
    <row r="17" spans="1:15">
      <c r="C17" s="46"/>
      <c r="F17" s="57" t="s">
        <v>84</v>
      </c>
      <c r="G17" s="58"/>
      <c r="H17" s="59"/>
      <c r="I17" s="60">
        <f>8.314472/I16</f>
        <v>0.28834190296185574</v>
      </c>
      <c r="J17" s="20"/>
      <c r="M17">
        <v>35</v>
      </c>
      <c r="N17">
        <v>1.8979999999999999</v>
      </c>
      <c r="O17">
        <v>2418</v>
      </c>
    </row>
    <row r="18" spans="1:15" ht="15.75" thickBot="1">
      <c r="C18" s="46"/>
      <c r="F18" s="25" t="s">
        <v>85</v>
      </c>
      <c r="G18" s="26"/>
      <c r="H18" s="27"/>
      <c r="I18" s="61">
        <f>8.314472/18</f>
        <v>0.46191511111111111</v>
      </c>
      <c r="J18" s="20"/>
      <c r="M18">
        <v>40</v>
      </c>
      <c r="N18">
        <v>1.9039999999999999</v>
      </c>
      <c r="O18">
        <v>2406</v>
      </c>
    </row>
    <row r="19" spans="1:15" ht="15.75" thickBot="1">
      <c r="B19">
        <f>30713-952.38*(10.5)</f>
        <v>20713.010000000002</v>
      </c>
      <c r="C19" s="46"/>
      <c r="F19" s="20"/>
      <c r="G19" s="20"/>
      <c r="H19" s="20"/>
      <c r="I19" s="20"/>
      <c r="J19" s="20"/>
      <c r="M19">
        <v>45</v>
      </c>
      <c r="N19">
        <v>1.9119999999999999</v>
      </c>
      <c r="O19">
        <v>2394</v>
      </c>
    </row>
    <row r="20" spans="1:15" ht="15.75" thickBot="1">
      <c r="B20">
        <f>15880-42*(8)*B24</f>
        <v>7816</v>
      </c>
      <c r="C20" s="46"/>
      <c r="F20" s="62" t="s">
        <v>86</v>
      </c>
      <c r="G20" s="63"/>
      <c r="H20" s="64"/>
      <c r="I20" s="29"/>
      <c r="J20" s="20"/>
      <c r="M20">
        <v>50</v>
      </c>
      <c r="N20">
        <v>1.919</v>
      </c>
      <c r="O20">
        <v>2382</v>
      </c>
    </row>
    <row r="21" spans="1:15" ht="15.75" thickBot="1">
      <c r="B21">
        <f>2.5</f>
        <v>2.5</v>
      </c>
      <c r="C21" s="46"/>
      <c r="F21" s="33"/>
      <c r="G21" s="65" t="s">
        <v>87</v>
      </c>
      <c r="H21" s="66"/>
      <c r="I21" s="29"/>
      <c r="J21" s="20"/>
    </row>
    <row r="22" spans="1:15" ht="15.75" thickBot="1">
      <c r="B22">
        <f>1000/1.05</f>
        <v>952.38095238095229</v>
      </c>
      <c r="C22" s="46"/>
      <c r="F22" s="67" t="s">
        <v>88</v>
      </c>
      <c r="G22" s="68" t="s">
        <v>89</v>
      </c>
      <c r="H22" s="68" t="s">
        <v>90</v>
      </c>
      <c r="I22" s="29"/>
      <c r="J22" s="20"/>
    </row>
    <row r="23" spans="1:15">
      <c r="C23">
        <f>37.13/2.64</f>
        <v>14.064393939393939</v>
      </c>
      <c r="F23" s="69" t="s">
        <v>91</v>
      </c>
      <c r="G23" s="70">
        <v>-5674.5358999999999</v>
      </c>
      <c r="H23" s="71">
        <v>-5800.2205999999996</v>
      </c>
      <c r="I23" s="72"/>
      <c r="J23" s="20"/>
    </row>
    <row r="24" spans="1:15">
      <c r="B24">
        <f>3600*30/4500</f>
        <v>24</v>
      </c>
      <c r="C24">
        <f>(7530/3600)/0.7931</f>
        <v>2.6373303072332197</v>
      </c>
      <c r="F24" s="73" t="s">
        <v>92</v>
      </c>
      <c r="G24" s="74">
        <v>6.3925247000000001</v>
      </c>
      <c r="H24" s="75">
        <v>1.3914993</v>
      </c>
      <c r="I24" s="72"/>
      <c r="J24" s="20"/>
    </row>
    <row r="25" spans="1:15">
      <c r="B25">
        <f>3600*37.13/7530</f>
        <v>17.751394422310756</v>
      </c>
      <c r="C25">
        <f>0.8198*15.7/(1100/3600)</f>
        <v>42.122814545454538</v>
      </c>
      <c r="F25" s="73" t="s">
        <v>93</v>
      </c>
      <c r="G25" s="74">
        <v>-9.6778430000000002E-3</v>
      </c>
      <c r="H25" s="75">
        <v>-4.8640239000000002E-2</v>
      </c>
      <c r="I25" s="72"/>
      <c r="J25" s="20"/>
    </row>
    <row r="26" spans="1:15">
      <c r="F26" s="73" t="s">
        <v>94</v>
      </c>
      <c r="G26" s="74">
        <v>6.2215700999999996E-7</v>
      </c>
      <c r="H26" s="75">
        <v>4.1764768000000003E-5</v>
      </c>
      <c r="I26" s="72"/>
      <c r="J26" s="20"/>
    </row>
    <row r="27" spans="1:15">
      <c r="B27">
        <f>4500/30</f>
        <v>150</v>
      </c>
      <c r="F27" s="73" t="s">
        <v>95</v>
      </c>
      <c r="G27" s="74">
        <v>2.0747825000000001E-9</v>
      </c>
      <c r="H27" s="75">
        <v>-1.4452092999999999E-8</v>
      </c>
      <c r="I27" s="72"/>
      <c r="J27" s="20"/>
    </row>
    <row r="28" spans="1:15">
      <c r="A28" t="s">
        <v>123</v>
      </c>
      <c r="B28">
        <f>24*42</f>
        <v>1008</v>
      </c>
      <c r="D28">
        <f>B22/24</f>
        <v>39.682539682539677</v>
      </c>
      <c r="F28" s="73" t="s">
        <v>96</v>
      </c>
      <c r="G28" s="74">
        <v>-9.4840240000000005E-13</v>
      </c>
      <c r="H28" s="75">
        <v>0</v>
      </c>
      <c r="I28" s="72"/>
      <c r="J28" s="20"/>
    </row>
    <row r="29" spans="1:15" ht="15.75" thickBot="1">
      <c r="A29" t="s">
        <v>122</v>
      </c>
      <c r="B29" s="29"/>
      <c r="F29" s="76" t="s">
        <v>97</v>
      </c>
      <c r="G29" s="77">
        <v>4.1635019</v>
      </c>
      <c r="H29" s="78">
        <v>6.5459673</v>
      </c>
      <c r="I29" s="72"/>
      <c r="J29" s="20"/>
    </row>
    <row r="30" spans="1:15" ht="15.75" thickBot="1">
      <c r="B30">
        <f>42*24</f>
        <v>1008</v>
      </c>
      <c r="F30" s="79" t="s">
        <v>98</v>
      </c>
      <c r="G30" s="80"/>
      <c r="H30" s="81"/>
      <c r="I30" s="82">
        <f>IF(I3&lt;0,EXP($G$23*(I3+273.15)^-1+$G$24+$G$25*(I3+273.15)+$G$26*(I3+273.15)^2+$G$27*(I3+273.15)^3+$G$28*(I3+273.15)^4+$G$29*LN(I3+273.15)),EXP($H$23*(I3+273.15)^-1+$H$24+$H$25*(I3+273.15)+$H$26*(I3+273.15)^2+$H$27*(I3+273.15)^3+$H$29*LN(I3+273.15)))</f>
        <v>1497.8108432903609</v>
      </c>
      <c r="J30" s="82">
        <f>IF(I3&lt;0,EXP(-5674.5359*(I3+273.15)^-1+6.3925247-0.009677843*(I3+273.15)+0.00000062215701*(I3+273.15)^2+0.0000000020747825*(I3+273.15)^3-0.0000000000009484024*(I3+273.15)^4+4.1635019*LN(I3+273.15)),EXP(-5800.2206*(I3+273.15)^-1+1.3914993-0.048640239*(I3+273.15)+0.000041764768*(I3+273.15)^2-0.000000014452093*(I3+273.15)^3+6.5459673*LN(I3+273.15)))</f>
        <v>1497.8108432903609</v>
      </c>
    </row>
    <row r="31" spans="1:15" ht="15.75" thickBot="1">
      <c r="F31" s="20"/>
      <c r="G31" s="20"/>
      <c r="H31" s="20"/>
      <c r="I31" s="20"/>
      <c r="J31" s="20"/>
    </row>
    <row r="32" spans="1:15" ht="15.75" thickBot="1">
      <c r="F32" s="83" t="s">
        <v>99</v>
      </c>
      <c r="G32" s="84"/>
      <c r="H32" s="84"/>
      <c r="I32" s="85"/>
      <c r="J32" s="20"/>
    </row>
    <row r="33" spans="6:10">
      <c r="F33" s="86" t="s">
        <v>100</v>
      </c>
      <c r="G33" s="22"/>
      <c r="H33" s="23"/>
      <c r="I33" s="87">
        <v>15</v>
      </c>
      <c r="J33" s="20"/>
    </row>
    <row r="34" spans="6:10" ht="15.75" thickBot="1">
      <c r="F34" s="88" t="s">
        <v>101</v>
      </c>
      <c r="G34" s="89"/>
      <c r="H34" s="90"/>
      <c r="I34" s="91">
        <v>6.4999999999999997E-3</v>
      </c>
      <c r="J34" s="20"/>
    </row>
    <row r="35" spans="6:10" ht="15.75" thickBot="1">
      <c r="F35" s="20"/>
      <c r="G35" s="20"/>
      <c r="H35" s="20"/>
      <c r="I35" s="20"/>
      <c r="J35" s="20"/>
    </row>
    <row r="36" spans="6:10" ht="15.75" thickBot="1">
      <c r="F36" s="17" t="s">
        <v>102</v>
      </c>
      <c r="G36" s="18"/>
      <c r="H36" s="18"/>
      <c r="I36" s="19"/>
      <c r="J36" s="20"/>
    </row>
    <row r="37" spans="6:10">
      <c r="F37" s="21" t="s">
        <v>103</v>
      </c>
      <c r="G37" s="22"/>
      <c r="H37" s="23"/>
      <c r="I37" s="92">
        <f>((C7/1000)*C8/1000)/(I17/I18+C8/1000)</f>
        <v>1.1193514094996724</v>
      </c>
      <c r="J37" s="20"/>
    </row>
    <row r="38" spans="6:10" ht="15.75" thickBot="1">
      <c r="F38" s="25" t="s">
        <v>104</v>
      </c>
      <c r="G38" s="26"/>
      <c r="H38" s="27"/>
      <c r="I38" s="93">
        <f>IF(I3&lt;0,5.994+12.41*LN(I37)+0.4273*(LN(I37))^2,6.983+14.38*LN(I37)+1.079*(LN(I37))^2)</f>
        <v>8.6180533573825109</v>
      </c>
      <c r="J38" s="20"/>
    </row>
    <row r="39" spans="6:10">
      <c r="F39" s="20"/>
      <c r="G39" s="20"/>
      <c r="H39" s="20"/>
      <c r="I39" s="20"/>
      <c r="J39" s="20"/>
    </row>
    <row r="40" spans="6:10">
      <c r="F40" s="20"/>
      <c r="G40" s="20"/>
      <c r="H40" s="20"/>
      <c r="I40" s="20"/>
      <c r="J40" s="20"/>
    </row>
    <row r="41" spans="6:10">
      <c r="F41" s="29"/>
      <c r="G41" s="20"/>
      <c r="H41" s="29"/>
      <c r="I41" s="29"/>
      <c r="J41" s="20"/>
    </row>
    <row r="42" spans="6:10">
      <c r="F42" s="20"/>
      <c r="G42" s="20"/>
      <c r="H42" s="20"/>
      <c r="I42" s="20"/>
      <c r="J42" s="20"/>
    </row>
    <row r="43" spans="6:10">
      <c r="F43" s="20"/>
      <c r="G43" s="20"/>
      <c r="H43" s="20"/>
      <c r="I43" s="20"/>
      <c r="J43" s="20"/>
    </row>
    <row r="44" spans="6:10">
      <c r="F44" s="20"/>
      <c r="G44" s="20"/>
      <c r="H44" s="20"/>
      <c r="I44" s="20"/>
      <c r="J44" s="20"/>
    </row>
    <row r="45" spans="6:10">
      <c r="F45" s="20"/>
      <c r="G45" s="20"/>
      <c r="H45" s="20"/>
      <c r="I45" s="20"/>
      <c r="J45" s="20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TIEMPOS</vt:lpstr>
      <vt:lpstr>AUX</vt:lpstr>
      <vt:lpstr>Hoja3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JAVIER ENRIQUEZ SANTOS</dc:creator>
  <cp:lastModifiedBy>FRANCISCO JAVIER ENRIQUEZ SANTOS</cp:lastModifiedBy>
  <dcterms:created xsi:type="dcterms:W3CDTF">2017-09-13T08:48:15Z</dcterms:created>
  <dcterms:modified xsi:type="dcterms:W3CDTF">2017-11-06T22:45:47Z</dcterms:modified>
</cp:coreProperties>
</file>