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255" windowHeight="795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18" i="1"/>
  <c r="I16"/>
  <c r="I17" s="1"/>
  <c r="H15"/>
  <c r="I14"/>
  <c r="I13"/>
  <c r="I12"/>
  <c r="I11"/>
  <c r="I10"/>
  <c r="I9"/>
  <c r="I4"/>
  <c r="I3"/>
  <c r="I30" s="1"/>
  <c r="C9" s="1"/>
  <c r="C8" l="1"/>
  <c r="C7"/>
  <c r="J30"/>
  <c r="I37" l="1"/>
  <c r="I38" s="1"/>
  <c r="C5" s="1"/>
  <c r="C13"/>
  <c r="C11"/>
  <c r="C12"/>
  <c r="C10"/>
  <c r="C4"/>
</calcChain>
</file>

<file path=xl/sharedStrings.xml><?xml version="1.0" encoding="utf-8"?>
<sst xmlns="http://schemas.openxmlformats.org/spreadsheetml/2006/main" count="47" uniqueCount="47">
  <si>
    <t>Tª seca (ºC):</t>
  </si>
  <si>
    <t>DATOS DE ENTRADA</t>
  </si>
  <si>
    <t>H.R (%):</t>
  </si>
  <si>
    <t>Temperatura de bulbo seco (°C)</t>
  </si>
  <si>
    <t>Tª humeda (ºC):</t>
  </si>
  <si>
    <t>Altura sobre el nivel del mar (m)</t>
  </si>
  <si>
    <t xml:space="preserve">Tª de rocío (ºC): </t>
  </si>
  <si>
    <t>Altitud (m):</t>
  </si>
  <si>
    <t>Presión (Pa):</t>
  </si>
  <si>
    <t>CUADRO 1: PORCENTAJES MOLARES DE LOS GASES DEL AIRE SECO</t>
  </si>
  <si>
    <t>Humedad absoluta (g agua/kg aire seco):</t>
  </si>
  <si>
    <t>PESO MOLECULAR (kg/kmol)</t>
  </si>
  <si>
    <t>PORCENTAJE MOLAR</t>
  </si>
  <si>
    <t>Presión de vapor en saturación (Pa):</t>
  </si>
  <si>
    <t>Nitrógeno</t>
  </si>
  <si>
    <t>Entalpía total (kJ/kg aire seco):</t>
  </si>
  <si>
    <t>Oxígeno</t>
  </si>
  <si>
    <t>Entalpía sensible (kJ/kg aire seco):</t>
  </si>
  <si>
    <t>Dióxido de Carbono</t>
  </si>
  <si>
    <t>Entalpía latente (kJ/kg aire seco):</t>
  </si>
  <si>
    <t>Argón</t>
  </si>
  <si>
    <t>Volumen específico (m3/kg aire seco):</t>
  </si>
  <si>
    <t>Neón</t>
  </si>
  <si>
    <t>Helio</t>
  </si>
  <si>
    <t>TOTAL</t>
  </si>
  <si>
    <t>Peso molecular del aire (kg/kmol)</t>
  </si>
  <si>
    <t>Constante de gas del aire (kJ/kg.K)</t>
  </si>
  <si>
    <t>Constante de gas del agua (kJ/kg.K)</t>
  </si>
  <si>
    <t>CUADRO 2: PRESIÓN DE SATURACIÓN DEL AGUA</t>
  </si>
  <si>
    <t>RANGO DE TEMPERATURA</t>
  </si>
  <si>
    <t>CONSTANTES</t>
  </si>
  <si>
    <t>MENOR A 0 °C</t>
  </si>
  <si>
    <t>MAYOR A 0 °C</t>
  </si>
  <si>
    <t>C1</t>
  </si>
  <si>
    <t>C2</t>
  </si>
  <si>
    <t>C3</t>
  </si>
  <si>
    <t>C4</t>
  </si>
  <si>
    <t>C5</t>
  </si>
  <si>
    <t>C6</t>
  </si>
  <si>
    <t>C7</t>
  </si>
  <si>
    <t>Presión de saturación de vapor de agua (Pa)</t>
  </si>
  <si>
    <t>CUADRO 3: DATOS DE LA ZONA</t>
  </si>
  <si>
    <t>Temperatura a nivel del mar (°C)</t>
  </si>
  <si>
    <t>Razón de cambio de la temperatura (K/m)</t>
  </si>
  <si>
    <t>CUADRO 4: TEMPERATURA DE ROCÍO DEL AIRE</t>
  </si>
  <si>
    <t>Presión parcial de vapor de agua (kPa)</t>
  </si>
  <si>
    <t>Temperatura de punto de rocío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</si>
</sst>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00"/>
    <numFmt numFmtId="166" formatCode="#,##0.0000"/>
    <numFmt numFmtId="167" formatCode="0.0000000000000000000000000"/>
    <numFmt numFmtId="168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D8D8D8"/>
        <bgColor rgb="FFD8D8D8"/>
      </patternFill>
    </fill>
    <fill>
      <patternFill patternType="solid">
        <fgColor rgb="FFEAF1DD"/>
        <bgColor rgb="FFEAF1DD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DE9D9"/>
        <bgColor rgb="FFFDE9D9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/>
    <xf numFmtId="0" fontId="1" fillId="0" borderId="1" xfId="0" applyFont="1" applyBorder="1"/>
    <xf numFmtId="4" fontId="1" fillId="0" borderId="1" xfId="0" applyNumberFormat="1" applyFont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4" fontId="2" fillId="4" borderId="8" xfId="0" applyNumberFormat="1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4" fontId="2" fillId="4" borderId="12" xfId="0" applyNumberFormat="1" applyFont="1" applyFill="1" applyBorder="1"/>
    <xf numFmtId="0" fontId="2" fillId="0" borderId="0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3" borderId="16" xfId="0" applyFont="1" applyFill="1" applyBorder="1"/>
    <xf numFmtId="0" fontId="2" fillId="3" borderId="16" xfId="0" applyFont="1" applyFill="1" applyBorder="1" applyAlignment="1">
      <alignment horizontal="center" wrapText="1"/>
    </xf>
    <xf numFmtId="0" fontId="2" fillId="0" borderId="5" xfId="0" applyFont="1" applyBorder="1"/>
    <xf numFmtId="164" fontId="2" fillId="0" borderId="5" xfId="0" applyNumberFormat="1" applyFont="1" applyBorder="1"/>
    <xf numFmtId="10" fontId="2" fillId="0" borderId="17" xfId="0" applyNumberFormat="1" applyFont="1" applyBorder="1"/>
    <xf numFmtId="165" fontId="2" fillId="0" borderId="18" xfId="0" applyNumberFormat="1" applyFont="1" applyBorder="1"/>
    <xf numFmtId="4" fontId="1" fillId="5" borderId="1" xfId="0" applyNumberFormat="1" applyFont="1" applyFill="1" applyBorder="1"/>
    <xf numFmtId="0" fontId="2" fillId="0" borderId="19" xfId="0" applyFont="1" applyBorder="1"/>
    <xf numFmtId="164" fontId="2" fillId="0" borderId="19" xfId="0" applyNumberFormat="1" applyFont="1" applyBorder="1"/>
    <xf numFmtId="10" fontId="2" fillId="0" borderId="20" xfId="0" applyNumberFormat="1" applyFont="1" applyBorder="1"/>
    <xf numFmtId="165" fontId="2" fillId="0" borderId="21" xfId="0" applyNumberFormat="1" applyFont="1" applyBorder="1"/>
    <xf numFmtId="4" fontId="0" fillId="0" borderId="0" xfId="0" applyNumberFormat="1"/>
    <xf numFmtId="0" fontId="2" fillId="0" borderId="22" xfId="0" applyFont="1" applyBorder="1"/>
    <xf numFmtId="164" fontId="2" fillId="0" borderId="9" xfId="0" applyNumberFormat="1" applyFont="1" applyBorder="1"/>
    <xf numFmtId="10" fontId="2" fillId="0" borderId="23" xfId="0" applyNumberFormat="1" applyFont="1" applyBorder="1"/>
    <xf numFmtId="165" fontId="2" fillId="0" borderId="24" xfId="0" applyNumberFormat="1" applyFont="1" applyBorder="1"/>
    <xf numFmtId="0" fontId="2" fillId="0" borderId="25" xfId="0" applyFont="1" applyBorder="1"/>
    <xf numFmtId="0" fontId="2" fillId="0" borderId="26" xfId="0" applyFont="1" applyBorder="1"/>
    <xf numFmtId="10" fontId="2" fillId="0" borderId="27" xfId="0" applyNumberFormat="1" applyFont="1" applyBorder="1"/>
    <xf numFmtId="0" fontId="2" fillId="0" borderId="15" xfId="0" applyFont="1" applyBorder="1"/>
    <xf numFmtId="0" fontId="2" fillId="0" borderId="8" xfId="0" applyFont="1" applyBorder="1"/>
    <xf numFmtId="0" fontId="2" fillId="3" borderId="19" xfId="0" applyFont="1" applyFill="1" applyBorder="1"/>
    <xf numFmtId="0" fontId="2" fillId="3" borderId="28" xfId="0" applyFont="1" applyFill="1" applyBorder="1"/>
    <xf numFmtId="0" fontId="2" fillId="3" borderId="29" xfId="0" applyFont="1" applyFill="1" applyBorder="1"/>
    <xf numFmtId="0" fontId="2" fillId="0" borderId="30" xfId="0" applyFont="1" applyBorder="1"/>
    <xf numFmtId="0" fontId="2" fillId="0" borderId="12" xfId="0" applyFont="1" applyBorder="1"/>
    <xf numFmtId="0" fontId="2" fillId="6" borderId="13" xfId="0" applyFont="1" applyFill="1" applyBorder="1"/>
    <xf numFmtId="0" fontId="2" fillId="6" borderId="14" xfId="0" applyFont="1" applyFill="1" applyBorder="1"/>
    <xf numFmtId="0" fontId="2" fillId="6" borderId="15" xfId="0" applyFont="1" applyFill="1" applyBorder="1"/>
    <xf numFmtId="0" fontId="2" fillId="3" borderId="14" xfId="0" applyFont="1" applyFill="1" applyBorder="1"/>
    <xf numFmtId="0" fontId="2" fillId="3" borderId="15" xfId="0" applyFont="1" applyFill="1" applyBorder="1"/>
    <xf numFmtId="0" fontId="2" fillId="3" borderId="31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32" xfId="0" applyFont="1" applyBorder="1"/>
    <xf numFmtId="167" fontId="2" fillId="0" borderId="33" xfId="0" applyNumberFormat="1" applyFont="1" applyBorder="1"/>
    <xf numFmtId="167" fontId="2" fillId="0" borderId="8" xfId="0" applyNumberFormat="1" applyFont="1" applyBorder="1"/>
    <xf numFmtId="11" fontId="2" fillId="0" borderId="0" xfId="0" applyNumberFormat="1" applyFont="1" applyBorder="1"/>
    <xf numFmtId="0" fontId="2" fillId="0" borderId="34" xfId="0" applyFont="1" applyBorder="1"/>
    <xf numFmtId="167" fontId="2" fillId="0" borderId="35" xfId="0" applyNumberFormat="1" applyFont="1" applyBorder="1"/>
    <xf numFmtId="167" fontId="2" fillId="0" borderId="30" xfId="0" applyNumberFormat="1" applyFont="1" applyBorder="1"/>
    <xf numFmtId="0" fontId="2" fillId="0" borderId="36" xfId="0" applyFont="1" applyBorder="1"/>
    <xf numFmtId="167" fontId="2" fillId="0" borderId="37" xfId="0" applyNumberFormat="1" applyFont="1" applyBorder="1"/>
    <xf numFmtId="167" fontId="2" fillId="0" borderId="38" xfId="0" applyNumberFormat="1" applyFont="1" applyBorder="1"/>
    <xf numFmtId="0" fontId="2" fillId="3" borderId="39" xfId="0" applyFont="1" applyFill="1" applyBorder="1"/>
    <xf numFmtId="0" fontId="2" fillId="3" borderId="40" xfId="0" applyFont="1" applyFill="1" applyBorder="1"/>
    <xf numFmtId="0" fontId="2" fillId="3" borderId="41" xfId="0" applyFont="1" applyFill="1" applyBorder="1"/>
    <xf numFmtId="168" fontId="2" fillId="0" borderId="42" xfId="0" applyNumberFormat="1" applyFont="1" applyBorder="1"/>
    <xf numFmtId="0" fontId="2" fillId="2" borderId="43" xfId="0" applyFont="1" applyFill="1" applyBorder="1"/>
    <xf numFmtId="0" fontId="2" fillId="2" borderId="44" xfId="0" applyFont="1" applyFill="1" applyBorder="1"/>
    <xf numFmtId="0" fontId="2" fillId="2" borderId="45" xfId="0" applyFont="1" applyFill="1" applyBorder="1"/>
    <xf numFmtId="0" fontId="2" fillId="3" borderId="46" xfId="0" applyFont="1" applyFill="1" applyBorder="1"/>
    <xf numFmtId="0" fontId="2" fillId="0" borderId="47" xfId="0" applyFont="1" applyBorder="1"/>
    <xf numFmtId="0" fontId="2" fillId="3" borderId="48" xfId="0" applyFont="1" applyFill="1" applyBorder="1"/>
    <xf numFmtId="0" fontId="2" fillId="3" borderId="49" xfId="0" applyFont="1" applyFill="1" applyBorder="1"/>
    <xf numFmtId="0" fontId="2" fillId="3" borderId="50" xfId="0" applyFont="1" applyFill="1" applyBorder="1"/>
    <xf numFmtId="0" fontId="2" fillId="0" borderId="51" xfId="0" applyFont="1" applyBorder="1"/>
    <xf numFmtId="168" fontId="2" fillId="0" borderId="8" xfId="0" applyNumberFormat="1" applyFont="1" applyBorder="1"/>
    <xf numFmtId="2" fontId="2" fillId="7" borderId="12" xfId="0" applyNumberFormat="1" applyFont="1" applyFill="1" applyBorder="1"/>
    <xf numFmtId="0" fontId="1" fillId="8" borderId="1" xfId="0" applyFont="1" applyFill="1" applyBorder="1"/>
    <xf numFmtId="4" fontId="1" fillId="8" borderId="1" xfId="0" applyNumberFormat="1" applyFont="1" applyFill="1" applyBorder="1"/>
    <xf numFmtId="166" fontId="1" fillId="8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J40"/>
  <sheetViews>
    <sheetView tabSelected="1" workbookViewId="0">
      <selection activeCell="C4" sqref="C4"/>
    </sheetView>
  </sheetViews>
  <sheetFormatPr baseColWidth="10" defaultRowHeight="15"/>
  <cols>
    <col min="2" max="2" width="37.42578125" bestFit="1" customWidth="1"/>
    <col min="3" max="3" width="10.140625" bestFit="1" customWidth="1"/>
  </cols>
  <sheetData>
    <row r="1" spans="2:10" ht="15.75" thickBot="1">
      <c r="F1" s="1"/>
      <c r="G1" s="1"/>
      <c r="H1" s="1"/>
      <c r="I1" s="1"/>
      <c r="J1" s="1"/>
    </row>
    <row r="2" spans="2:10" ht="15.75" thickBot="1">
      <c r="B2" s="2" t="s">
        <v>0</v>
      </c>
      <c r="C2" s="25">
        <v>25</v>
      </c>
      <c r="F2" s="4" t="s">
        <v>1</v>
      </c>
      <c r="G2" s="5"/>
      <c r="H2" s="5"/>
      <c r="I2" s="6"/>
      <c r="J2" s="1"/>
    </row>
    <row r="3" spans="2:10">
      <c r="B3" s="2" t="s">
        <v>2</v>
      </c>
      <c r="C3" s="25">
        <v>50</v>
      </c>
      <c r="F3" s="7" t="s">
        <v>3</v>
      </c>
      <c r="G3" s="8"/>
      <c r="H3" s="9"/>
      <c r="I3" s="10">
        <f>C2</f>
        <v>25</v>
      </c>
      <c r="J3" s="1"/>
    </row>
    <row r="4" spans="2:10" ht="15.75" thickBot="1">
      <c r="B4" s="2" t="s">
        <v>4</v>
      </c>
      <c r="C4" s="3">
        <f>C2-(0.2726*C2+C8*(-1.569+0.04316*C2-0.000342*C2^2)+0.003606*C2^2-0.00006374*C2^3+5.864)</f>
        <v>18.017363322092166</v>
      </c>
      <c r="F4" s="11" t="s">
        <v>5</v>
      </c>
      <c r="G4" s="12"/>
      <c r="H4" s="13"/>
      <c r="I4" s="14">
        <f>C6</f>
        <v>0</v>
      </c>
      <c r="J4" s="1"/>
    </row>
    <row r="5" spans="2:10">
      <c r="B5" s="2" t="s">
        <v>6</v>
      </c>
      <c r="C5" s="3">
        <f>I38</f>
        <v>13.776634679772808</v>
      </c>
      <c r="F5" s="1"/>
      <c r="G5" s="1"/>
      <c r="H5" s="1"/>
      <c r="I5" s="1"/>
      <c r="J5" s="1"/>
    </row>
    <row r="6" spans="2:10" ht="15.75" thickBot="1">
      <c r="B6" s="2" t="s">
        <v>7</v>
      </c>
      <c r="C6" s="25">
        <v>0</v>
      </c>
      <c r="F6" s="15"/>
      <c r="G6" s="15"/>
      <c r="H6" s="15"/>
      <c r="I6" s="15"/>
      <c r="J6" s="1"/>
    </row>
    <row r="7" spans="2:10" ht="15.75" thickBot="1">
      <c r="B7" s="2" t="s">
        <v>8</v>
      </c>
      <c r="C7" s="3">
        <f>101325*(1-I34/(I33+273.15)*C6)^(9.807/I17/I34/1000)</f>
        <v>101325</v>
      </c>
      <c r="F7" s="16" t="s">
        <v>9</v>
      </c>
      <c r="G7" s="17"/>
      <c r="H7" s="17"/>
      <c r="I7" s="18"/>
      <c r="J7" s="1"/>
    </row>
    <row r="8" spans="2:10" ht="45.75" thickBot="1">
      <c r="B8" s="2" t="s">
        <v>10</v>
      </c>
      <c r="C8" s="3">
        <f>1000*0.62198*(C3/100)*C9/(C7-(C3/100)*C9)</f>
        <v>9.8815997472002373</v>
      </c>
      <c r="F8" s="19"/>
      <c r="G8" s="20" t="s">
        <v>11</v>
      </c>
      <c r="H8" s="20" t="s">
        <v>12</v>
      </c>
      <c r="I8" s="19"/>
      <c r="J8" s="1"/>
    </row>
    <row r="9" spans="2:10">
      <c r="B9" s="2" t="s">
        <v>13</v>
      </c>
      <c r="C9" s="3">
        <f>I30</f>
        <v>3169.2164701436277</v>
      </c>
      <c r="F9" s="21" t="s">
        <v>14</v>
      </c>
      <c r="G9" s="22">
        <v>28</v>
      </c>
      <c r="H9" s="23">
        <v>0.78083999999999998</v>
      </c>
      <c r="I9" s="24">
        <f>H9/G9</f>
        <v>2.7887142857142857E-2</v>
      </c>
      <c r="J9" s="1"/>
    </row>
    <row r="10" spans="2:10">
      <c r="B10" s="77" t="s">
        <v>15</v>
      </c>
      <c r="C10" s="78">
        <f>1.006*C2+(C8/1000)*(2501.3+1.89*C2)</f>
        <v>50.333751035727161</v>
      </c>
      <c r="F10" s="26" t="s">
        <v>16</v>
      </c>
      <c r="G10" s="27">
        <v>32</v>
      </c>
      <c r="H10" s="28">
        <v>0.209476</v>
      </c>
      <c r="I10" s="29">
        <f>H10/G10</f>
        <v>6.5461249999999999E-3</v>
      </c>
      <c r="J10" s="1"/>
    </row>
    <row r="11" spans="2:10">
      <c r="B11" s="77" t="s">
        <v>17</v>
      </c>
      <c r="C11" s="78">
        <f>1.006*C2+(C8/1000)*(1.89*C2)</f>
        <v>25.616905588055211</v>
      </c>
      <c r="F11" s="26" t="s">
        <v>18</v>
      </c>
      <c r="G11" s="27">
        <v>44.01</v>
      </c>
      <c r="H11" s="28">
        <v>3.5E-4</v>
      </c>
      <c r="I11" s="29">
        <f>H11/G11</f>
        <v>7.9527380140877079E-6</v>
      </c>
      <c r="J11" s="1"/>
    </row>
    <row r="12" spans="2:10">
      <c r="B12" s="77" t="s">
        <v>19</v>
      </c>
      <c r="C12" s="78">
        <f>(C8/1000)*(2501.3)</f>
        <v>24.716845447671954</v>
      </c>
      <c r="F12" s="26" t="s">
        <v>20</v>
      </c>
      <c r="G12" s="27">
        <v>40</v>
      </c>
      <c r="H12" s="28">
        <v>9.2999999999999992E-3</v>
      </c>
      <c r="I12" s="29">
        <f>H12/G12</f>
        <v>2.3249999999999999E-4</v>
      </c>
      <c r="J12" s="1"/>
    </row>
    <row r="13" spans="2:10">
      <c r="B13" s="77" t="s">
        <v>21</v>
      </c>
      <c r="C13" s="79">
        <f>0.2870551882*(C2+273.15)*(1+1.6078*C8/1000)/101.32503</f>
        <v>0.85808270383242768</v>
      </c>
      <c r="F13" s="26" t="s">
        <v>22</v>
      </c>
      <c r="G13" s="27">
        <v>10</v>
      </c>
      <c r="H13" s="28">
        <v>1.8E-5</v>
      </c>
      <c r="I13" s="29">
        <f t="shared" ref="I13:I14" si="0">H13/G13</f>
        <v>1.8000000000000001E-6</v>
      </c>
      <c r="J13" s="1"/>
    </row>
    <row r="14" spans="2:10" ht="15.75" thickBot="1">
      <c r="C14" s="30"/>
      <c r="F14" s="31" t="s">
        <v>23</v>
      </c>
      <c r="G14" s="32">
        <v>4</v>
      </c>
      <c r="H14" s="33">
        <v>1.5999999999999999E-5</v>
      </c>
      <c r="I14" s="34">
        <f t="shared" si="0"/>
        <v>3.9999999999999998E-6</v>
      </c>
      <c r="J14" s="1"/>
    </row>
    <row r="15" spans="2:10" ht="15.75" thickBot="1">
      <c r="C15" s="30"/>
      <c r="F15" s="35" t="s">
        <v>24</v>
      </c>
      <c r="G15" s="36"/>
      <c r="H15" s="37">
        <f>SUM(H9:H14)</f>
        <v>0.99999999999999989</v>
      </c>
      <c r="I15" s="38"/>
      <c r="J15" s="15"/>
    </row>
    <row r="16" spans="2:10">
      <c r="C16" s="30"/>
      <c r="F16" s="7" t="s">
        <v>25</v>
      </c>
      <c r="G16" s="8"/>
      <c r="H16" s="9"/>
      <c r="I16" s="39">
        <f>1/SUM(I9:I14)</f>
        <v>28.835462049024166</v>
      </c>
      <c r="J16" s="1"/>
    </row>
    <row r="17" spans="2:10">
      <c r="C17" s="30"/>
      <c r="F17" s="40" t="s">
        <v>26</v>
      </c>
      <c r="G17" s="41"/>
      <c r="H17" s="42"/>
      <c r="I17" s="43">
        <f>8.314472/I16</f>
        <v>0.28834190296185574</v>
      </c>
      <c r="J17" s="1"/>
    </row>
    <row r="18" spans="2:10" ht="15.75" thickBot="1">
      <c r="C18" s="30"/>
      <c r="F18" s="11" t="s">
        <v>27</v>
      </c>
      <c r="G18" s="12"/>
      <c r="H18" s="13"/>
      <c r="I18" s="44">
        <f>8.314472/18</f>
        <v>0.46191511111111111</v>
      </c>
      <c r="J18" s="1"/>
    </row>
    <row r="19" spans="2:10" ht="15.75" thickBot="1">
      <c r="C19" s="30"/>
      <c r="F19" s="1"/>
      <c r="G19" s="1"/>
      <c r="H19" s="1"/>
      <c r="I19" s="1"/>
      <c r="J19" s="1"/>
    </row>
    <row r="20" spans="2:10" ht="15.75" thickBot="1">
      <c r="C20" s="30"/>
      <c r="F20" s="45" t="s">
        <v>28</v>
      </c>
      <c r="G20" s="46"/>
      <c r="H20" s="47"/>
      <c r="I20" s="15"/>
      <c r="J20" s="1"/>
    </row>
    <row r="21" spans="2:10" ht="15.75" thickBot="1">
      <c r="C21" s="30"/>
      <c r="F21" s="19"/>
      <c r="G21" s="48" t="s">
        <v>29</v>
      </c>
      <c r="H21" s="49"/>
      <c r="I21" s="15"/>
      <c r="J21" s="1"/>
    </row>
    <row r="22" spans="2:10" ht="15.75" thickBot="1">
      <c r="C22" s="30"/>
      <c r="F22" s="50" t="s">
        <v>30</v>
      </c>
      <c r="G22" s="51" t="s">
        <v>31</v>
      </c>
      <c r="H22" s="51" t="s">
        <v>32</v>
      </c>
      <c r="I22" s="15"/>
      <c r="J22" s="1"/>
    </row>
    <row r="23" spans="2:10">
      <c r="F23" s="52" t="s">
        <v>33</v>
      </c>
      <c r="G23" s="53">
        <v>-5674.5358999999999</v>
      </c>
      <c r="H23" s="54">
        <v>-5800.2205999999996</v>
      </c>
      <c r="I23" s="55"/>
      <c r="J23" s="1"/>
    </row>
    <row r="24" spans="2:10">
      <c r="F24" s="56" t="s">
        <v>34</v>
      </c>
      <c r="G24" s="57">
        <v>6.3925247000000001</v>
      </c>
      <c r="H24" s="58">
        <v>1.3914993</v>
      </c>
      <c r="I24" s="55"/>
      <c r="J24" s="1"/>
    </row>
    <row r="25" spans="2:10">
      <c r="F25" s="56" t="s">
        <v>35</v>
      </c>
      <c r="G25" s="57">
        <v>-9.6778430000000002E-3</v>
      </c>
      <c r="H25" s="58">
        <v>-4.8640239000000002E-2</v>
      </c>
      <c r="I25" s="55"/>
      <c r="J25" s="1"/>
    </row>
    <row r="26" spans="2:10">
      <c r="F26" s="56" t="s">
        <v>36</v>
      </c>
      <c r="G26" s="57">
        <v>6.2215700999999996E-7</v>
      </c>
      <c r="H26" s="58">
        <v>4.1764768000000003E-5</v>
      </c>
      <c r="I26" s="55"/>
      <c r="J26" s="1"/>
    </row>
    <row r="27" spans="2:10">
      <c r="F27" s="56" t="s">
        <v>37</v>
      </c>
      <c r="G27" s="57">
        <v>2.0747825000000001E-9</v>
      </c>
      <c r="H27" s="58">
        <v>-1.4452092999999999E-8</v>
      </c>
      <c r="I27" s="55"/>
      <c r="J27" s="1"/>
    </row>
    <row r="28" spans="2:10">
      <c r="F28" s="56" t="s">
        <v>38</v>
      </c>
      <c r="G28" s="57">
        <v>-9.4840240000000005E-13</v>
      </c>
      <c r="H28" s="58">
        <v>0</v>
      </c>
      <c r="I28" s="55"/>
      <c r="J28" s="1"/>
    </row>
    <row r="29" spans="2:10" ht="15.75" thickBot="1">
      <c r="B29" s="15"/>
      <c r="F29" s="59" t="s">
        <v>39</v>
      </c>
      <c r="G29" s="60">
        <v>4.1635019</v>
      </c>
      <c r="H29" s="61">
        <v>6.5459673</v>
      </c>
      <c r="I29" s="55"/>
      <c r="J29" s="1"/>
    </row>
    <row r="30" spans="2:10" ht="15.75" thickBot="1">
      <c r="F30" s="62" t="s">
        <v>40</v>
      </c>
      <c r="G30" s="63"/>
      <c r="H30" s="64"/>
      <c r="I30" s="65">
        <f>IF(I3&lt;0,EXP($G$23*(I3+273.15)^-1+$G$24+$G$25*(I3+273.15)+$G$26*(I3+273.15)^2+$G$27*(I3+273.15)^3+$G$28*(I3+273.15)^4+$G$29*LN(I3+273.15)),EXP($H$23*(I3+273.15)^-1+$H$24+$H$25*(I3+273.15)+$H$26*(I3+273.15)^2+$H$27*(I3+273.15)^3+$H$29*LN(I3+273.15)))</f>
        <v>3169.2164701436277</v>
      </c>
      <c r="J30" s="65">
        <f>IF(I3&lt;0,EXP(-5674.5359*(I3+273.15)^-1+6.3925247-0.009677843*(I3+273.15)+0.00000062215701*(I3+273.15)^2+0.0000000020747825*(I3+273.15)^3-0.0000000000009484024*(I3+273.15)^4+4.1635019*LN(I3+273.15)),EXP(-5800.2206*(I3+273.15)^-1+1.3914993-0.048640239*(I3+273.15)+0.000041764768*(I3+273.15)^2-0.000000014452093*(I3+273.15)^3+6.5459673*LN(I3+273.15)))</f>
        <v>3169.2164701436277</v>
      </c>
    </row>
    <row r="31" spans="2:10" ht="15.75" thickBot="1">
      <c r="F31" s="1"/>
      <c r="G31" s="1"/>
      <c r="H31" s="1"/>
      <c r="I31" s="1"/>
      <c r="J31" s="1"/>
    </row>
    <row r="32" spans="2:10" ht="15.75" thickBot="1">
      <c r="F32" s="66" t="s">
        <v>41</v>
      </c>
      <c r="G32" s="67"/>
      <c r="H32" s="67"/>
      <c r="I32" s="68"/>
      <c r="J32" s="1"/>
    </row>
    <row r="33" spans="6:10">
      <c r="F33" s="69" t="s">
        <v>42</v>
      </c>
      <c r="G33" s="8"/>
      <c r="H33" s="9"/>
      <c r="I33" s="70">
        <v>15</v>
      </c>
      <c r="J33" s="1"/>
    </row>
    <row r="34" spans="6:10" ht="15.75" thickBot="1">
      <c r="F34" s="71" t="s">
        <v>43</v>
      </c>
      <c r="G34" s="72"/>
      <c r="H34" s="73"/>
      <c r="I34" s="74">
        <v>6.4999999999999997E-3</v>
      </c>
      <c r="J34" s="1"/>
    </row>
    <row r="35" spans="6:10" ht="15.75" thickBot="1">
      <c r="F35" s="1"/>
      <c r="G35" s="1"/>
      <c r="H35" s="1"/>
      <c r="I35" s="1"/>
      <c r="J35" s="1"/>
    </row>
    <row r="36" spans="6:10" ht="15.75" thickBot="1">
      <c r="F36" s="4" t="s">
        <v>44</v>
      </c>
      <c r="G36" s="5"/>
      <c r="H36" s="5"/>
      <c r="I36" s="6"/>
      <c r="J36" s="1"/>
    </row>
    <row r="37" spans="6:10">
      <c r="F37" s="7" t="s">
        <v>45</v>
      </c>
      <c r="G37" s="8"/>
      <c r="H37" s="9"/>
      <c r="I37" s="75">
        <f>((C7/1000)*C8/1000)/(I17/I18+C8/1000)</f>
        <v>1.5789822019547912</v>
      </c>
      <c r="J37" s="1"/>
    </row>
    <row r="38" spans="6:10" ht="15.75" thickBot="1">
      <c r="F38" s="11" t="s">
        <v>46</v>
      </c>
      <c r="G38" s="12"/>
      <c r="H38" s="13"/>
      <c r="I38" s="76">
        <f>IF(I3&lt;0,5.994+12.41*LN(I37)+0.4273*(LN(I37))^2,6.983+14.38*LN(I37)+1.079*(LN(I37))^2)</f>
        <v>13.776634679772808</v>
      </c>
      <c r="J38" s="1"/>
    </row>
    <row r="39" spans="6:10">
      <c r="F39" s="1"/>
      <c r="G39" s="1"/>
      <c r="H39" s="1"/>
      <c r="I39" s="1"/>
      <c r="J39" s="1"/>
    </row>
    <row r="40" spans="6:10">
      <c r="F40" s="1"/>
      <c r="G40" s="1"/>
      <c r="H40" s="1"/>
      <c r="I40" s="1"/>
      <c r="J4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2018-10-03T06:49:41Z</dcterms:created>
  <dcterms:modified xsi:type="dcterms:W3CDTF">2018-11-09T09:30:04Z</dcterms:modified>
</cp:coreProperties>
</file>